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9455"/>
  <workbookPr backupFile="1"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2A031176-941C-4D08-AA88-A1BC702E618D}" xr6:coauthVersionLast="47" xr6:coauthVersionMax="47" xr10:uidLastSave="{00000000-0000-0000-0000-000000000000}"/>
  <bookViews>
    <workbookView xWindow="-120" yWindow="-120" windowWidth="38640" windowHeight="15720" tabRatio="903" firstSheet="2" activeTab="2"/>
  </bookViews>
  <sheets>
    <sheet name="Tracking sheet" sheetId="15" r:id="rId1"/>
    <sheet name="Value" sheetId="17" r:id="rId2"/>
    <sheet name="Project Assumptions" sheetId="1" r:id="rId3"/>
    <sheet name="PPA Assumptions &amp;Summary" sheetId="2" r:id="rId4"/>
    <sheet name="Operations" sheetId="3" r:id="rId5"/>
    <sheet name="Debt Amortization" sheetId="4" r:id="rId6"/>
    <sheet name="Returns Summary" sheetId="5" r:id="rId7"/>
    <sheet name="Book Income Statement" sheetId="6" r:id="rId8"/>
    <sheet name="Cash Flow Statement" sheetId="7" r:id="rId9"/>
    <sheet name="BS" sheetId="16" r:id="rId10"/>
    <sheet name="Tax Calculations" sheetId="8" r:id="rId11"/>
    <sheet name="Depreciation" sheetId="9" r:id="rId12"/>
    <sheet name="Interest During Construction" sheetId="10" r:id="rId13"/>
    <sheet name="Maintenance Reserves" sheetId="13" r:id="rId14"/>
  </sheets>
  <externalReferences>
    <externalReference r:id="rId15"/>
    <externalReference r:id="rId16"/>
    <externalReference r:id="rId17"/>
    <externalReference r:id="rId18"/>
  </externalReferences>
  <definedNames>
    <definedName name="AnnualHours">'Project Assumptions'!$G$14</definedName>
    <definedName name="AssessedValueMultiplier">'Project Assumptions'!$U$6</definedName>
    <definedName name="BI">'Book Income Statement'!$B$1:$AB$75</definedName>
    <definedName name="BS">BS!$A$1:$X$38</definedName>
    <definedName name="BusnIInsr">'Project Assumptions'!$N$30</definedName>
    <definedName name="Cap_Factor_Energy">'Project Assumptions'!$I$23</definedName>
    <definedName name="CF">'Cash Flow Statement'!$A$1:$AB$36</definedName>
    <definedName name="CityTaxRate">'Project Assumptions'!$U$12</definedName>
    <definedName name="CountyMillageTaxRate">'Project Assumptions'!$U$10</definedName>
    <definedName name="Debt">'Debt Amortization'!$A$1:$Y$59</definedName>
    <definedName name="DebtTerm">'Project Assumptions'!$I$39</definedName>
    <definedName name="Deg_Rate">'Project Assumptions'!$F$11</definedName>
    <definedName name="Deprec">Depreciation!$A$1:$AB$51</definedName>
    <definedName name="Ebitda">'Book Income Statement'!$B$63:$AB$63</definedName>
    <definedName name="Energy_Margin">'Project Assumptions'!$F$23</definedName>
    <definedName name="Equity_Copy">BS!$D$35:$X$35</definedName>
    <definedName name="Equity_Paste">BS!$D$45:$X$45</definedName>
    <definedName name="FercMWh">'Project Assumptions'!$N$9</definedName>
    <definedName name="Fixed">'Project Assumptions'!$N$21</definedName>
    <definedName name="FracYr1">'Project Assumptions'!$I$16</definedName>
    <definedName name="Fuel_Start">'Project Assumptions'!$N$16</definedName>
    <definedName name="Grace1">'[3]Project Assumptions'!$F$40</definedName>
    <definedName name="Grace2">'[3]Project Assumptions'!$G$40</definedName>
    <definedName name="Grace3">'[3]Project Assumptions'!$H$40</definedName>
    <definedName name="HeatRate">'Project Assumptions'!$I$12</definedName>
    <definedName name="idc">'Interest During Construction'!$A$1:$I$57</definedName>
    <definedName name="_Int1">'Project Assumptions'!$F$40</definedName>
    <definedName name="_Int2">'Project Assumptions'!$G$40</definedName>
    <definedName name="_Int3">'Project Assumptions'!$H$40</definedName>
    <definedName name="InterestExpense">'Debt Amortization'!$D$90:$AC$90</definedName>
    <definedName name="ISO_NetMW">'Project Assumptions'!$I$9</definedName>
    <definedName name="Labor">'Project Assumptions'!$N$20</definedName>
    <definedName name="LiabInsr">'Project Assumptions'!$N$29</definedName>
    <definedName name="Loan_Copy">BS!$D$28:$X$28</definedName>
    <definedName name="Loan_Paste">BS!$D$44:$X$44</definedName>
    <definedName name="Loop">BS!$A$43</definedName>
    <definedName name="MAIN">'Maintenance Reserves'!$A$1:$AB$44</definedName>
    <definedName name="Main_Escal">'Project Assumptions'!$P$15</definedName>
    <definedName name="Main_Start">'Project Assumptions'!$N$15</definedName>
    <definedName name="Main_Table">'Maintenance Reserves'!$E$19:$J$44</definedName>
    <definedName name="MainMWh">'Project Assumptions'!$N$10</definedName>
    <definedName name="Maint_Accrual">'Project Assumptions'!#REF!</definedName>
    <definedName name="NetMW">'Project Assumptions'!$I$10</definedName>
    <definedName name="OM_Escal">'Project Assumptions'!$N$40</definedName>
    <definedName name="Opcostescalation">'Project Assumptions'!$N$41</definedName>
    <definedName name="OpMachInsr">'Project Assumptions'!$N$31</definedName>
    <definedName name="ops">Operations!$A$1:$W$48</definedName>
    <definedName name="ppa">'PPA Assumptions &amp;Summary'!$A$1:$AA$79</definedName>
    <definedName name="PPACAPACITY">'Project Assumptions'!$I$27</definedName>
    <definedName name="PPAHours">'Project Assumptions'!$I$28</definedName>
    <definedName name="PPATerm">'Project Assumptions'!$I$26</definedName>
    <definedName name="principal">'Debt Amortization'!$D$91:$AC$91</definedName>
    <definedName name="Principal1">'Project Assumptions'!$F$38</definedName>
    <definedName name="Principal2">'Project Assumptions'!$G$38</definedName>
    <definedName name="Principal3">'Project Assumptions'!$H$38</definedName>
    <definedName name="_xlnm.Print_Area" localSheetId="7">'Book Income Statement'!$B$1:$X$75</definedName>
    <definedName name="_xlnm.Print_Area" localSheetId="8">'Cash Flow Statement'!$A$1:$X$36</definedName>
    <definedName name="_xlnm.Print_Area" localSheetId="5">'Debt Amortization'!$A$1:$Y$59</definedName>
    <definedName name="_xlnm.Print_Area" localSheetId="11">Depreciation!$A$1:$W$98</definedName>
    <definedName name="_xlnm.Print_Area" localSheetId="13">'Maintenance Reserves'!$A$1:$X$16</definedName>
    <definedName name="_xlnm.Print_Area" localSheetId="4">Operations!$A$1:$W$48</definedName>
    <definedName name="_xlnm.Print_Area" localSheetId="3">'PPA Assumptions &amp;Summary'!$A$1:$V$80</definedName>
    <definedName name="_xlnm.Print_Area" localSheetId="2">'Project Assumptions'!$A$2:$N$77</definedName>
    <definedName name="_xlnm.Print_Area" localSheetId="6">'Returns Summary'!$A$1:$W$42</definedName>
    <definedName name="_xlnm.Print_Area" localSheetId="10">'Tax Calculations'!$A$1:$V$51</definedName>
    <definedName name="_xlnm.Print_Area" localSheetId="0">'Tracking sheet'!$A$2:$G$285</definedName>
    <definedName name="_xlnm.Print_Titles" localSheetId="7">'Book Income Statement'!$B:$C</definedName>
    <definedName name="_xlnm.Print_Titles" localSheetId="8">'Cash Flow Statement'!$A:$C</definedName>
    <definedName name="_xlnm.Print_Titles" localSheetId="5">'Debt Amortization'!$A:$C</definedName>
    <definedName name="_xlnm.Print_Titles" localSheetId="11">Depreciation!$A:$B</definedName>
    <definedName name="_xlnm.Print_Titles" localSheetId="13">'Maintenance Reserves'!$A:$B</definedName>
    <definedName name="_xlnm.Print_Titles" localSheetId="4">Operations!$A:$B</definedName>
    <definedName name="_xlnm.Print_Titles" localSheetId="3">'PPA Assumptions &amp;Summary'!$A:$B</definedName>
    <definedName name="_xlnm.Print_Titles" localSheetId="2">'Project Assumptions'!$1:$4</definedName>
    <definedName name="_xlnm.Print_Titles" localSheetId="6">'Returns Summary'!$A:$B</definedName>
    <definedName name="_xlnm.Print_Titles" localSheetId="10">'Tax Calculations'!$A:$B</definedName>
    <definedName name="_xlnm.Print_Titles" localSheetId="0">'Tracking sheet'!$2:$6</definedName>
    <definedName name="Pro_Ass">'Project Assumptions'!$A$1:$U$71</definedName>
    <definedName name="ProjectLife">'Project Assumptions'!$I$15</definedName>
    <definedName name="Returns">'Returns Summary'!$A$1:$W$42</definedName>
    <definedName name="s">'Tracking sheet'!$A$6:$X$12</definedName>
    <definedName name="SchoolMillageTaxRate">'Project Assumptions'!$U$7</definedName>
    <definedName name="solver_adj" localSheetId="2" hidden="1">'Project Assumptions'!$I$29</definedName>
    <definedName name="solver_cvg" localSheetId="2" hidden="1">0.001</definedName>
    <definedName name="solver_drv" localSheetId="2" hidden="1">1</definedName>
    <definedName name="solver_est" localSheetId="2" hidden="1">1</definedName>
    <definedName name="solver_itr" localSheetId="2" hidden="1">100</definedName>
    <definedName name="solver_lin" localSheetId="2" hidden="1">2</definedName>
    <definedName name="solver_neg" localSheetId="2" hidden="1">2</definedName>
    <definedName name="solver_num" localSheetId="2" hidden="1">0</definedName>
    <definedName name="solver_nwt" localSheetId="2" hidden="1">1</definedName>
    <definedName name="solver_opt" localSheetId="2" hidden="1">'Project Assumptions'!$I$60</definedName>
    <definedName name="solver_pre" localSheetId="2" hidden="1">0.000001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3</definedName>
    <definedName name="solver_val" localSheetId="2" hidden="1">0.12</definedName>
    <definedName name="START_PAY">'[2]Project Assumptions'!$F$21</definedName>
    <definedName name="StartDate">'Project Assumptions'!$G$16</definedName>
    <definedName name="StartMWh">'Project Assumptions'!#REF!</definedName>
    <definedName name="Tax">'Tax Calculations'!$A$1:$W$57</definedName>
    <definedName name="Term1">'Project Assumptions'!$F$39</definedName>
    <definedName name="Term2">'Project Assumptions'!$G$39</definedName>
    <definedName name="Term3">'Project Assumptions'!$H$39</definedName>
    <definedName name="TVA_hours">'Project Assumptions'!$I$14</definedName>
    <definedName name="Variable">'Project Assumptions'!$L$10</definedName>
    <definedName name="VariableMwh">'Project Assumptions'!$N$11</definedName>
    <definedName name="VEP">'Project Assumptions'!$F$21</definedName>
    <definedName name="VEP_ESCAL">'Project Assumptions'!$I$21</definedName>
    <definedName name="WaterMWh">'Project Assumptions'!$N$8</definedName>
    <definedName name="WaterTreatmentVar">'Project Assumptions'!$L$8</definedName>
    <definedName name="wrn.test1." localSheetId="5" hidden="1">{"Income Statement",#N/A,FALSE,"CFMODEL";"Balance Sheet",#N/A,FALSE,"CFMODEL"}</definedName>
    <definedName name="wrn.test1." localSheetId="13" hidden="1">{"Income Statement",#N/A,FALSE,"CFMODEL";"Balance Sheet",#N/A,FALSE,"CFMODEL"}</definedName>
    <definedName name="wrn.test1." localSheetId="6" hidden="1">{"Income Statement",#N/A,FALSE,"CFMODEL";"Balance Sheet",#N/A,FALSE,"CFMODEL"}</definedName>
    <definedName name="wrn.test1." hidden="1">{"Income Statement",#N/A,FALSE,"CFMODEL";"Balance Sheet",#N/A,FALSE,"CFMODEL"}</definedName>
    <definedName name="wrn.test2." localSheetId="5" hidden="1">{"SourcesUses",#N/A,TRUE,"CFMODEL";"TransOverview",#N/A,TRUE,"CFMODEL"}</definedName>
    <definedName name="wrn.test2." localSheetId="13" hidden="1">{"SourcesUses",#N/A,TRUE,"CFMODEL";"TransOverview",#N/A,TRUE,"CFMODEL"}</definedName>
    <definedName name="wrn.test2." localSheetId="6" hidden="1">{"SourcesUses",#N/A,TRUE,"CFMODEL";"TransOverview",#N/A,TRUE,"CFMODEL"}</definedName>
    <definedName name="wrn.test2." hidden="1">{"SourcesUses",#N/A,TRUE,"CFMODEL";"TransOverview",#N/A,TRUE,"CFMODEL"}</definedName>
    <definedName name="wrn.test3." localSheetId="5" hidden="1">{"SourcesUses",#N/A,TRUE,#N/A;"TransOverview",#N/A,TRUE,"CFMODEL"}</definedName>
    <definedName name="wrn.test3." localSheetId="13" hidden="1">{"SourcesUses",#N/A,TRUE,#N/A;"TransOverview",#N/A,TRUE,"CFMODEL"}</definedName>
    <definedName name="wrn.test3." localSheetId="6" hidden="1">{"SourcesUses",#N/A,TRUE,#N/A;"TransOverview",#N/A,TRUE,"CFMODEL"}</definedName>
    <definedName name="wrn.test3." hidden="1">{"SourcesUses",#N/A,TRUE,#N/A;"TransOverview",#N/A,TRUE,"CFMODEL"}</definedName>
    <definedName name="wrn.test4." localSheetId="5" hidden="1">{"SourcesUses",#N/A,TRUE,"FundsFlow";"TransOverview",#N/A,TRUE,"FundsFlow"}</definedName>
    <definedName name="wrn.test4." localSheetId="13" hidden="1">{"SourcesUses",#N/A,TRUE,"FundsFlow";"TransOverview",#N/A,TRUE,"FundsFlow"}</definedName>
    <definedName name="wrn.test4." localSheetId="6" hidden="1">{"SourcesUses",#N/A,TRUE,"FundsFlow";"TransOverview",#N/A,TRUE,"FundsFlow"}</definedName>
    <definedName name="wrn.test4." hidden="1">{"SourcesUses",#N/A,TRUE,"FundsFlow";"TransOverview",#N/A,TRUE,"FundsFlow"}</definedName>
    <definedName name="Z_14FB3146_3CEF_11D2_B9CE_0060080D6A65_.wvu.PrintArea" localSheetId="13" hidden="1">'Maintenance Reserves'!$C$1:$AB$34</definedName>
    <definedName name="Z_14FB3146_3CEF_11D2_B9CE_0060080D6A65_.wvu.PrintTitles" localSheetId="13" hidden="1">'Maintenance Reserves'!$A:$B</definedName>
    <definedName name="Z_14FB3146_3CEF_11D2_B9CE_0060080D6A65_.wvu.Rows" localSheetId="13" hidden="1">'Maintenance Reserves'!$15:$15,'Maintenance Reserves'!$27:$34</definedName>
    <definedName name="Z_87D5054C_0AAC_11D2_824B_00A0D1027254_.wvu.PrintArea" localSheetId="12" hidden="1">'Interest During Construction'!$A$2:$I$63</definedName>
    <definedName name="Z_9D7575BF_255B_11D2_8267_00A0D1027254_.wvu.PrintArea" localSheetId="7" hidden="1">'Book Income Statement'!$B$1:$AB$75</definedName>
    <definedName name="Z_9D7575BF_255B_11D2_8267_00A0D1027254_.wvu.PrintArea" localSheetId="8" hidden="1">'Cash Flow Statement'!$D$1:$AB$36</definedName>
    <definedName name="Z_9D7575BF_255B_11D2_8267_00A0D1027254_.wvu.PrintArea" localSheetId="13" hidden="1">'Maintenance Reserves'!$C$1:$AB$34</definedName>
    <definedName name="Z_9D7575BF_255B_11D2_8267_00A0D1027254_.wvu.PrintArea" localSheetId="2" hidden="1">'Project Assumptions'!$A$1:$N$62</definedName>
    <definedName name="Z_9D7575BF_255B_11D2_8267_00A0D1027254_.wvu.PrintArea" localSheetId="6" hidden="1">'Returns Summary'!$C$1:$AA$37</definedName>
    <definedName name="Z_9D7575BF_255B_11D2_8267_00A0D1027254_.wvu.PrintTitles" localSheetId="5" hidden="1">'Debt Amortization'!$A:$B</definedName>
    <definedName name="Z_9D7575BF_255B_11D2_8267_00A0D1027254_.wvu.PrintTitles" localSheetId="13" hidden="1">'Maintenance Reserves'!$A:$B</definedName>
    <definedName name="Z_9D7575BF_255B_11D2_8267_00A0D1027254_.wvu.Rows" localSheetId="7" hidden="1">'Book Income Statement'!$5:$8,'Book Income Statement'!#REF!</definedName>
    <definedName name="Z_9D7575BF_255B_11D2_8267_00A0D1027254_.wvu.Rows" localSheetId="13" hidden="1">'Maintenance Reserves'!$15:$15,'Maintenance Reserves'!$27:$34</definedName>
  </definedNames>
  <calcPr calcId="0" fullCalcOnLoad="1"/>
  <customWorkbookViews>
    <customWorkbookView name="Bryan Garrett - Personal View" guid="{9D7575BF-255B-11D2-8267-00A0D1027254}" autoUpdate="1" mergeInterval="30" personalView="1" maximized="1" windowWidth="1020" windowHeight="621" activeSheetId="1"/>
    <customWorkbookView name="slewis - Personal View" guid="{773475A7-2559-11D2-A5F6-0060080AEB13}" mergeInterval="0" personalView="1" maximized="1" windowWidth="1020" windowHeight="554" activeSheetId="5"/>
  </customWorkbookViews>
</workbook>
</file>

<file path=xl/calcChain.xml><?xml version="1.0" encoding="utf-8"?>
<calcChain xmlns="http://schemas.openxmlformats.org/spreadsheetml/2006/main">
  <c r="B1" i="6" l="1"/>
  <c r="E3" i="6"/>
  <c r="F3" i="6"/>
  <c r="G3" i="6"/>
  <c r="H3" i="6"/>
  <c r="I3" i="6"/>
  <c r="J3" i="6"/>
  <c r="K3" i="6"/>
  <c r="L3" i="6"/>
  <c r="M3" i="6"/>
  <c r="N3" i="6"/>
  <c r="O3" i="6"/>
  <c r="P3" i="6"/>
  <c r="Q3" i="6"/>
  <c r="R3" i="6"/>
  <c r="S3" i="6"/>
  <c r="T3" i="6"/>
  <c r="U3" i="6"/>
  <c r="V3" i="6"/>
  <c r="W3" i="6"/>
  <c r="X3" i="6"/>
  <c r="Y3" i="6"/>
  <c r="Z3" i="6"/>
  <c r="AA3" i="6"/>
  <c r="AB3" i="6"/>
  <c r="D4" i="6"/>
  <c r="E4" i="6"/>
  <c r="F4" i="6"/>
  <c r="G4" i="6"/>
  <c r="H4" i="6"/>
  <c r="I4" i="6"/>
  <c r="J4" i="6"/>
  <c r="K4" i="6"/>
  <c r="L4" i="6"/>
  <c r="M4" i="6"/>
  <c r="N4" i="6"/>
  <c r="O4" i="6"/>
  <c r="P4" i="6"/>
  <c r="Q4" i="6"/>
  <c r="R4" i="6"/>
  <c r="S4" i="6"/>
  <c r="T4" i="6"/>
  <c r="U4" i="6"/>
  <c r="V4" i="6"/>
  <c r="W4" i="6"/>
  <c r="X4" i="6"/>
  <c r="Y4" i="6"/>
  <c r="Z4" i="6"/>
  <c r="AA4" i="6"/>
  <c r="AB4" i="6"/>
  <c r="B5" i="6"/>
  <c r="D5" i="6"/>
  <c r="E5" i="6"/>
  <c r="F5" i="6"/>
  <c r="G5" i="6"/>
  <c r="H5" i="6"/>
  <c r="I5" i="6"/>
  <c r="J5" i="6"/>
  <c r="K5" i="6"/>
  <c r="L5" i="6"/>
  <c r="M5" i="6"/>
  <c r="N5" i="6"/>
  <c r="O5" i="6"/>
  <c r="P5" i="6"/>
  <c r="Q5" i="6"/>
  <c r="R5" i="6"/>
  <c r="S5" i="6"/>
  <c r="T5" i="6"/>
  <c r="U5" i="6"/>
  <c r="V5" i="6"/>
  <c r="W5" i="6"/>
  <c r="X5" i="6"/>
  <c r="Y5" i="6"/>
  <c r="Z5" i="6"/>
  <c r="AA5" i="6"/>
  <c r="AB5" i="6"/>
  <c r="B6" i="6"/>
  <c r="D6" i="6"/>
  <c r="E6" i="6"/>
  <c r="F6" i="6"/>
  <c r="G6" i="6"/>
  <c r="H6" i="6"/>
  <c r="I6" i="6"/>
  <c r="J6" i="6"/>
  <c r="K6" i="6"/>
  <c r="L6" i="6"/>
  <c r="M6" i="6"/>
  <c r="N6" i="6"/>
  <c r="O6" i="6"/>
  <c r="P6" i="6"/>
  <c r="Q6" i="6"/>
  <c r="R6" i="6"/>
  <c r="S6" i="6"/>
  <c r="T6" i="6"/>
  <c r="U6" i="6"/>
  <c r="V6" i="6"/>
  <c r="W6" i="6"/>
  <c r="X6" i="6"/>
  <c r="Y6" i="6"/>
  <c r="Z6" i="6"/>
  <c r="AA6" i="6"/>
  <c r="AB6" i="6"/>
  <c r="B7" i="6"/>
  <c r="D7" i="6"/>
  <c r="E7" i="6"/>
  <c r="F7" i="6"/>
  <c r="G7" i="6"/>
  <c r="H7" i="6"/>
  <c r="I7" i="6"/>
  <c r="J7" i="6"/>
  <c r="K7" i="6"/>
  <c r="L7" i="6"/>
  <c r="M7" i="6"/>
  <c r="N7" i="6"/>
  <c r="O7" i="6"/>
  <c r="P7" i="6"/>
  <c r="Q7" i="6"/>
  <c r="R7" i="6"/>
  <c r="S7" i="6"/>
  <c r="T7" i="6"/>
  <c r="U7" i="6"/>
  <c r="V7" i="6"/>
  <c r="W7" i="6"/>
  <c r="X7" i="6"/>
  <c r="Y7" i="6"/>
  <c r="Z7" i="6"/>
  <c r="AA7" i="6"/>
  <c r="AB7" i="6"/>
  <c r="D10" i="6"/>
  <c r="E10" i="6"/>
  <c r="F10" i="6"/>
  <c r="G10" i="6"/>
  <c r="H10" i="6"/>
  <c r="I10" i="6"/>
  <c r="J10" i="6"/>
  <c r="K10" i="6"/>
  <c r="L10" i="6"/>
  <c r="M10" i="6"/>
  <c r="N10" i="6"/>
  <c r="O10" i="6"/>
  <c r="P10" i="6"/>
  <c r="Q10" i="6"/>
  <c r="R10" i="6"/>
  <c r="S10" i="6"/>
  <c r="T10" i="6"/>
  <c r="U10" i="6"/>
  <c r="V10" i="6"/>
  <c r="W10" i="6"/>
  <c r="X10" i="6"/>
  <c r="Y10" i="6"/>
  <c r="Z10" i="6"/>
  <c r="AA10" i="6"/>
  <c r="AB10" i="6"/>
  <c r="D11" i="6"/>
  <c r="E11" i="6"/>
  <c r="F11" i="6"/>
  <c r="G11" i="6"/>
  <c r="H11" i="6"/>
  <c r="I11" i="6"/>
  <c r="J11" i="6"/>
  <c r="K11" i="6"/>
  <c r="L11" i="6"/>
  <c r="M11" i="6"/>
  <c r="N11" i="6"/>
  <c r="O11" i="6"/>
  <c r="P11" i="6"/>
  <c r="Q11" i="6"/>
  <c r="R11" i="6"/>
  <c r="S11" i="6"/>
  <c r="T11" i="6"/>
  <c r="U11" i="6"/>
  <c r="V11" i="6"/>
  <c r="W11" i="6"/>
  <c r="X11" i="6"/>
  <c r="Y11" i="6"/>
  <c r="Z11" i="6"/>
  <c r="AA11" i="6"/>
  <c r="AB11" i="6"/>
  <c r="D12" i="6"/>
  <c r="E12" i="6"/>
  <c r="F12" i="6"/>
  <c r="G12" i="6"/>
  <c r="H12" i="6"/>
  <c r="I12" i="6"/>
  <c r="J12" i="6"/>
  <c r="K12" i="6"/>
  <c r="L12" i="6"/>
  <c r="M12" i="6"/>
  <c r="N12" i="6"/>
  <c r="O12" i="6"/>
  <c r="P12" i="6"/>
  <c r="Q12" i="6"/>
  <c r="R12" i="6"/>
  <c r="S12" i="6"/>
  <c r="T12" i="6"/>
  <c r="U12" i="6"/>
  <c r="V12" i="6"/>
  <c r="W12" i="6"/>
  <c r="X12" i="6"/>
  <c r="Y12" i="6"/>
  <c r="Z12" i="6"/>
  <c r="AA12" i="6"/>
  <c r="AB12" i="6"/>
  <c r="D13" i="6"/>
  <c r="E13" i="6"/>
  <c r="F13" i="6"/>
  <c r="G13" i="6"/>
  <c r="H13" i="6"/>
  <c r="I13" i="6"/>
  <c r="J13" i="6"/>
  <c r="K13" i="6"/>
  <c r="L13" i="6"/>
  <c r="M13" i="6"/>
  <c r="N13" i="6"/>
  <c r="O13" i="6"/>
  <c r="P13" i="6"/>
  <c r="Q13" i="6"/>
  <c r="R13" i="6"/>
  <c r="S13" i="6"/>
  <c r="T13" i="6"/>
  <c r="U13" i="6"/>
  <c r="V13" i="6"/>
  <c r="W13" i="6"/>
  <c r="X13" i="6"/>
  <c r="Y13" i="6"/>
  <c r="Z13" i="6"/>
  <c r="AA13" i="6"/>
  <c r="AB13" i="6"/>
  <c r="D14" i="6"/>
  <c r="E14" i="6"/>
  <c r="F14" i="6"/>
  <c r="G14" i="6"/>
  <c r="H14" i="6"/>
  <c r="I14" i="6"/>
  <c r="J14" i="6"/>
  <c r="K14" i="6"/>
  <c r="L14" i="6"/>
  <c r="M14" i="6"/>
  <c r="N14" i="6"/>
  <c r="O14" i="6"/>
  <c r="P14" i="6"/>
  <c r="Q14" i="6"/>
  <c r="R14" i="6"/>
  <c r="S14" i="6"/>
  <c r="T14" i="6"/>
  <c r="U14" i="6"/>
  <c r="V14" i="6"/>
  <c r="W14" i="6"/>
  <c r="X14" i="6"/>
  <c r="Y14" i="6"/>
  <c r="Z14" i="6"/>
  <c r="AA14" i="6"/>
  <c r="AB14" i="6"/>
  <c r="D15" i="6"/>
  <c r="E15" i="6"/>
  <c r="F15" i="6"/>
  <c r="G15" i="6"/>
  <c r="H15" i="6"/>
  <c r="I15" i="6"/>
  <c r="J15" i="6"/>
  <c r="K15" i="6"/>
  <c r="L15" i="6"/>
  <c r="M15" i="6"/>
  <c r="N15" i="6"/>
  <c r="O15" i="6"/>
  <c r="P15" i="6"/>
  <c r="Q15" i="6"/>
  <c r="R15" i="6"/>
  <c r="S15" i="6"/>
  <c r="T15" i="6"/>
  <c r="U15" i="6"/>
  <c r="V15" i="6"/>
  <c r="W15" i="6"/>
  <c r="X15" i="6"/>
  <c r="Y15" i="6"/>
  <c r="Z15" i="6"/>
  <c r="AA15" i="6"/>
  <c r="AB15" i="6"/>
  <c r="D16" i="6"/>
  <c r="E16" i="6"/>
  <c r="F16" i="6"/>
  <c r="G16" i="6"/>
  <c r="H16" i="6"/>
  <c r="I16" i="6"/>
  <c r="J16" i="6"/>
  <c r="K16" i="6"/>
  <c r="L16" i="6"/>
  <c r="M16" i="6"/>
  <c r="N16" i="6"/>
  <c r="O16" i="6"/>
  <c r="P16" i="6"/>
  <c r="Q16" i="6"/>
  <c r="R16" i="6"/>
  <c r="S16" i="6"/>
  <c r="T16" i="6"/>
  <c r="U16" i="6"/>
  <c r="V16" i="6"/>
  <c r="W16" i="6"/>
  <c r="X16" i="6"/>
  <c r="Y16" i="6"/>
  <c r="Z16" i="6"/>
  <c r="AA16" i="6"/>
  <c r="AB16" i="6"/>
  <c r="D17" i="6"/>
  <c r="E17" i="6"/>
  <c r="F17" i="6"/>
  <c r="G17" i="6"/>
  <c r="H17" i="6"/>
  <c r="I17" i="6"/>
  <c r="J17" i="6"/>
  <c r="K17" i="6"/>
  <c r="L17" i="6"/>
  <c r="M17" i="6"/>
  <c r="N17" i="6"/>
  <c r="O17" i="6"/>
  <c r="P17" i="6"/>
  <c r="Q17" i="6"/>
  <c r="R17" i="6"/>
  <c r="S17" i="6"/>
  <c r="T17" i="6"/>
  <c r="U17" i="6"/>
  <c r="V17" i="6"/>
  <c r="W17" i="6"/>
  <c r="X17" i="6"/>
  <c r="Y17" i="6"/>
  <c r="Z17" i="6"/>
  <c r="AA17" i="6"/>
  <c r="AB17" i="6"/>
  <c r="D23" i="6"/>
  <c r="E23" i="6"/>
  <c r="F23" i="6"/>
  <c r="G23" i="6"/>
  <c r="H23" i="6"/>
  <c r="I23" i="6"/>
  <c r="J23" i="6"/>
  <c r="K23" i="6"/>
  <c r="L23" i="6"/>
  <c r="M23" i="6"/>
  <c r="N23" i="6"/>
  <c r="O23" i="6"/>
  <c r="P23" i="6"/>
  <c r="Q23" i="6"/>
  <c r="R23" i="6"/>
  <c r="S23" i="6"/>
  <c r="T23" i="6"/>
  <c r="U23" i="6"/>
  <c r="V23" i="6"/>
  <c r="W23" i="6"/>
  <c r="X23" i="6"/>
  <c r="Y23" i="6"/>
  <c r="Z23" i="6"/>
  <c r="AA23" i="6"/>
  <c r="AB23" i="6"/>
  <c r="D25" i="6"/>
  <c r="E25" i="6"/>
  <c r="F25" i="6"/>
  <c r="G25" i="6"/>
  <c r="H25" i="6"/>
  <c r="I25" i="6"/>
  <c r="J25" i="6"/>
  <c r="K25" i="6"/>
  <c r="L25" i="6"/>
  <c r="M25" i="6"/>
  <c r="N25" i="6"/>
  <c r="O25" i="6"/>
  <c r="P25" i="6"/>
  <c r="Q25" i="6"/>
  <c r="R25" i="6"/>
  <c r="S25" i="6"/>
  <c r="T25" i="6"/>
  <c r="U25" i="6"/>
  <c r="V25" i="6"/>
  <c r="W25" i="6"/>
  <c r="X25" i="6"/>
  <c r="Y25" i="6"/>
  <c r="Z25" i="6"/>
  <c r="AA25" i="6"/>
  <c r="AB25" i="6"/>
  <c r="D26" i="6"/>
  <c r="E26" i="6"/>
  <c r="F26" i="6"/>
  <c r="G26" i="6"/>
  <c r="H26" i="6"/>
  <c r="I26" i="6"/>
  <c r="J26" i="6"/>
  <c r="K26" i="6"/>
  <c r="L26" i="6"/>
  <c r="M26" i="6"/>
  <c r="N26" i="6"/>
  <c r="O26" i="6"/>
  <c r="P26" i="6"/>
  <c r="Q26" i="6"/>
  <c r="R26" i="6"/>
  <c r="S26" i="6"/>
  <c r="T26" i="6"/>
  <c r="U26" i="6"/>
  <c r="V26" i="6"/>
  <c r="W26" i="6"/>
  <c r="X26" i="6"/>
  <c r="Y26" i="6"/>
  <c r="Z26" i="6"/>
  <c r="AA26" i="6"/>
  <c r="AB26" i="6"/>
  <c r="D27" i="6"/>
  <c r="E27" i="6"/>
  <c r="F27" i="6"/>
  <c r="G27" i="6"/>
  <c r="H27" i="6"/>
  <c r="I27" i="6"/>
  <c r="J27" i="6"/>
  <c r="K27" i="6"/>
  <c r="L27" i="6"/>
  <c r="M27" i="6"/>
  <c r="N27" i="6"/>
  <c r="O27" i="6"/>
  <c r="P27" i="6"/>
  <c r="Q27" i="6"/>
  <c r="R27" i="6"/>
  <c r="S27" i="6"/>
  <c r="T27" i="6"/>
  <c r="U27" i="6"/>
  <c r="V27" i="6"/>
  <c r="W27" i="6"/>
  <c r="X27" i="6"/>
  <c r="Y27" i="6"/>
  <c r="Z27" i="6"/>
  <c r="AA27" i="6"/>
  <c r="AB27" i="6"/>
  <c r="C28" i="6"/>
  <c r="D28" i="6"/>
  <c r="E28" i="6"/>
  <c r="F28" i="6"/>
  <c r="G28" i="6"/>
  <c r="H28" i="6"/>
  <c r="I28" i="6"/>
  <c r="J28" i="6"/>
  <c r="K28" i="6"/>
  <c r="L28" i="6"/>
  <c r="M28" i="6"/>
  <c r="N28" i="6"/>
  <c r="O28" i="6"/>
  <c r="P28" i="6"/>
  <c r="Q28" i="6"/>
  <c r="R28" i="6"/>
  <c r="S28" i="6"/>
  <c r="T28" i="6"/>
  <c r="U28" i="6"/>
  <c r="V28" i="6"/>
  <c r="W28" i="6"/>
  <c r="X28" i="6"/>
  <c r="Y28" i="6"/>
  <c r="Z28" i="6"/>
  <c r="AA28" i="6"/>
  <c r="AB28" i="6"/>
  <c r="D29" i="6"/>
  <c r="E29" i="6"/>
  <c r="F29" i="6"/>
  <c r="G29" i="6"/>
  <c r="H29" i="6"/>
  <c r="I29" i="6"/>
  <c r="J29" i="6"/>
  <c r="K29" i="6"/>
  <c r="L29" i="6"/>
  <c r="M29" i="6"/>
  <c r="N29" i="6"/>
  <c r="O29" i="6"/>
  <c r="P29" i="6"/>
  <c r="Q29" i="6"/>
  <c r="R29" i="6"/>
  <c r="S29" i="6"/>
  <c r="T29" i="6"/>
  <c r="U29" i="6"/>
  <c r="V29" i="6"/>
  <c r="W29" i="6"/>
  <c r="X29" i="6"/>
  <c r="Y29" i="6"/>
  <c r="Z29" i="6"/>
  <c r="AA29" i="6"/>
  <c r="AB29" i="6"/>
  <c r="C32" i="6"/>
  <c r="D32" i="6"/>
  <c r="E32" i="6"/>
  <c r="F32" i="6"/>
  <c r="G32" i="6"/>
  <c r="H32" i="6"/>
  <c r="I32" i="6"/>
  <c r="J32" i="6"/>
  <c r="K32" i="6"/>
  <c r="L32" i="6"/>
  <c r="M32" i="6"/>
  <c r="N32" i="6"/>
  <c r="O32" i="6"/>
  <c r="P32" i="6"/>
  <c r="Q32" i="6"/>
  <c r="R32" i="6"/>
  <c r="S32" i="6"/>
  <c r="T32" i="6"/>
  <c r="U32" i="6"/>
  <c r="V32" i="6"/>
  <c r="W32" i="6"/>
  <c r="X32" i="6"/>
  <c r="Y32" i="6"/>
  <c r="Z32" i="6"/>
  <c r="AA32" i="6"/>
  <c r="AB32" i="6"/>
  <c r="C33" i="6"/>
  <c r="D33" i="6"/>
  <c r="E33" i="6"/>
  <c r="F33" i="6"/>
  <c r="G33" i="6"/>
  <c r="H33" i="6"/>
  <c r="I33" i="6"/>
  <c r="J33" i="6"/>
  <c r="K33" i="6"/>
  <c r="L33" i="6"/>
  <c r="M33" i="6"/>
  <c r="N33" i="6"/>
  <c r="O33" i="6"/>
  <c r="P33" i="6"/>
  <c r="Q33" i="6"/>
  <c r="R33" i="6"/>
  <c r="S33" i="6"/>
  <c r="T33" i="6"/>
  <c r="U33" i="6"/>
  <c r="V33" i="6"/>
  <c r="W33" i="6"/>
  <c r="X33" i="6"/>
  <c r="Y33" i="6"/>
  <c r="Z33" i="6"/>
  <c r="AA33" i="6"/>
  <c r="AB33" i="6"/>
  <c r="D34" i="6"/>
  <c r="E34" i="6"/>
  <c r="F34" i="6"/>
  <c r="G34" i="6"/>
  <c r="H34" i="6"/>
  <c r="I34" i="6"/>
  <c r="J34" i="6"/>
  <c r="K34" i="6"/>
  <c r="L34" i="6"/>
  <c r="M34" i="6"/>
  <c r="N34" i="6"/>
  <c r="O34" i="6"/>
  <c r="P34" i="6"/>
  <c r="Q34" i="6"/>
  <c r="R34" i="6"/>
  <c r="S34" i="6"/>
  <c r="T34" i="6"/>
  <c r="U34" i="6"/>
  <c r="V34" i="6"/>
  <c r="W34" i="6"/>
  <c r="X34" i="6"/>
  <c r="Y34" i="6"/>
  <c r="Z34" i="6"/>
  <c r="AA34" i="6"/>
  <c r="AB34" i="6"/>
  <c r="C37" i="6"/>
  <c r="D37" i="6"/>
  <c r="E37" i="6"/>
  <c r="F37" i="6"/>
  <c r="G37" i="6"/>
  <c r="H37" i="6"/>
  <c r="I37" i="6"/>
  <c r="J37" i="6"/>
  <c r="K37" i="6"/>
  <c r="L37" i="6"/>
  <c r="M37" i="6"/>
  <c r="N37" i="6"/>
  <c r="O37" i="6"/>
  <c r="P37" i="6"/>
  <c r="Q37" i="6"/>
  <c r="R37" i="6"/>
  <c r="S37" i="6"/>
  <c r="T37" i="6"/>
  <c r="U37" i="6"/>
  <c r="V37" i="6"/>
  <c r="W37" i="6"/>
  <c r="X37" i="6"/>
  <c r="Y37" i="6"/>
  <c r="Z37" i="6"/>
  <c r="AA37" i="6"/>
  <c r="AB37" i="6"/>
  <c r="C38" i="6"/>
  <c r="D38" i="6"/>
  <c r="E38" i="6"/>
  <c r="F38" i="6"/>
  <c r="G38" i="6"/>
  <c r="H38" i="6"/>
  <c r="I38" i="6"/>
  <c r="J38" i="6"/>
  <c r="K38" i="6"/>
  <c r="L38" i="6"/>
  <c r="M38" i="6"/>
  <c r="N38" i="6"/>
  <c r="O38" i="6"/>
  <c r="P38" i="6"/>
  <c r="Q38" i="6"/>
  <c r="R38" i="6"/>
  <c r="S38" i="6"/>
  <c r="T38" i="6"/>
  <c r="U38" i="6"/>
  <c r="V38" i="6"/>
  <c r="W38" i="6"/>
  <c r="X38" i="6"/>
  <c r="Y38" i="6"/>
  <c r="Z38" i="6"/>
  <c r="AA38" i="6"/>
  <c r="AB38" i="6"/>
  <c r="C39" i="6"/>
  <c r="D39" i="6"/>
  <c r="E39" i="6"/>
  <c r="F39" i="6"/>
  <c r="G39" i="6"/>
  <c r="H39" i="6"/>
  <c r="I39" i="6"/>
  <c r="J39" i="6"/>
  <c r="K39" i="6"/>
  <c r="L39" i="6"/>
  <c r="M39" i="6"/>
  <c r="N39" i="6"/>
  <c r="O39" i="6"/>
  <c r="P39" i="6"/>
  <c r="Q39" i="6"/>
  <c r="R39" i="6"/>
  <c r="S39" i="6"/>
  <c r="T39" i="6"/>
  <c r="U39" i="6"/>
  <c r="V39" i="6"/>
  <c r="W39" i="6"/>
  <c r="X39" i="6"/>
  <c r="Y39" i="6"/>
  <c r="Z39" i="6"/>
  <c r="AA39" i="6"/>
  <c r="AB39" i="6"/>
  <c r="C40" i="6"/>
  <c r="D40" i="6"/>
  <c r="E40" i="6"/>
  <c r="F40" i="6"/>
  <c r="G40" i="6"/>
  <c r="H40" i="6"/>
  <c r="I40" i="6"/>
  <c r="J40" i="6"/>
  <c r="K40" i="6"/>
  <c r="L40" i="6"/>
  <c r="M40" i="6"/>
  <c r="N40" i="6"/>
  <c r="O40" i="6"/>
  <c r="P40" i="6"/>
  <c r="Q40" i="6"/>
  <c r="R40" i="6"/>
  <c r="S40" i="6"/>
  <c r="T40" i="6"/>
  <c r="U40" i="6"/>
  <c r="V40" i="6"/>
  <c r="W40" i="6"/>
  <c r="X40" i="6"/>
  <c r="Y40" i="6"/>
  <c r="Z40" i="6"/>
  <c r="AA40" i="6"/>
  <c r="AB40" i="6"/>
  <c r="C41" i="6"/>
  <c r="D41" i="6"/>
  <c r="E41" i="6"/>
  <c r="F41" i="6"/>
  <c r="G41" i="6"/>
  <c r="H41" i="6"/>
  <c r="I41" i="6"/>
  <c r="J41" i="6"/>
  <c r="K41" i="6"/>
  <c r="L41" i="6"/>
  <c r="M41" i="6"/>
  <c r="N41" i="6"/>
  <c r="O41" i="6"/>
  <c r="P41" i="6"/>
  <c r="Q41" i="6"/>
  <c r="R41" i="6"/>
  <c r="S41" i="6"/>
  <c r="T41" i="6"/>
  <c r="U41" i="6"/>
  <c r="V41" i="6"/>
  <c r="W41" i="6"/>
  <c r="X41" i="6"/>
  <c r="Y41" i="6"/>
  <c r="Z41" i="6"/>
  <c r="AA41" i="6"/>
  <c r="AB41" i="6"/>
  <c r="C42" i="6"/>
  <c r="D42" i="6"/>
  <c r="E42" i="6"/>
  <c r="F42" i="6"/>
  <c r="G42" i="6"/>
  <c r="H42" i="6"/>
  <c r="I42" i="6"/>
  <c r="J42" i="6"/>
  <c r="K42" i="6"/>
  <c r="L42" i="6"/>
  <c r="M42" i="6"/>
  <c r="N42" i="6"/>
  <c r="O42" i="6"/>
  <c r="P42" i="6"/>
  <c r="Q42" i="6"/>
  <c r="R42" i="6"/>
  <c r="S42" i="6"/>
  <c r="T42" i="6"/>
  <c r="U42" i="6"/>
  <c r="V42" i="6"/>
  <c r="W42" i="6"/>
  <c r="X42" i="6"/>
  <c r="Y42" i="6"/>
  <c r="Z42" i="6"/>
  <c r="AA42" i="6"/>
  <c r="AB42" i="6"/>
  <c r="C45" i="6"/>
  <c r="D45" i="6"/>
  <c r="E45" i="6"/>
  <c r="F45" i="6"/>
  <c r="G45" i="6"/>
  <c r="H45" i="6"/>
  <c r="I45" i="6"/>
  <c r="J45" i="6"/>
  <c r="K45" i="6"/>
  <c r="L45" i="6"/>
  <c r="M45" i="6"/>
  <c r="N45" i="6"/>
  <c r="O45" i="6"/>
  <c r="P45" i="6"/>
  <c r="Q45" i="6"/>
  <c r="R45" i="6"/>
  <c r="S45" i="6"/>
  <c r="T45" i="6"/>
  <c r="U45" i="6"/>
  <c r="V45" i="6"/>
  <c r="W45" i="6"/>
  <c r="X45" i="6"/>
  <c r="Y45" i="6"/>
  <c r="Z45" i="6"/>
  <c r="AA45" i="6"/>
  <c r="AB45" i="6"/>
  <c r="C46" i="6"/>
  <c r="D46" i="6"/>
  <c r="E46" i="6"/>
  <c r="F46" i="6"/>
  <c r="G46" i="6"/>
  <c r="H46" i="6"/>
  <c r="I46" i="6"/>
  <c r="J46" i="6"/>
  <c r="K46" i="6"/>
  <c r="L46" i="6"/>
  <c r="M46" i="6"/>
  <c r="N46" i="6"/>
  <c r="O46" i="6"/>
  <c r="P46" i="6"/>
  <c r="Q46" i="6"/>
  <c r="R46" i="6"/>
  <c r="S46" i="6"/>
  <c r="T46" i="6"/>
  <c r="U46" i="6"/>
  <c r="V46" i="6"/>
  <c r="W46" i="6"/>
  <c r="X46" i="6"/>
  <c r="Y46" i="6"/>
  <c r="Z46" i="6"/>
  <c r="AA46" i="6"/>
  <c r="AB46" i="6"/>
  <c r="C47" i="6"/>
  <c r="D47" i="6"/>
  <c r="E47" i="6"/>
  <c r="F47" i="6"/>
  <c r="G47" i="6"/>
  <c r="H47" i="6"/>
  <c r="I47" i="6"/>
  <c r="J47" i="6"/>
  <c r="K47" i="6"/>
  <c r="L47" i="6"/>
  <c r="M47" i="6"/>
  <c r="N47" i="6"/>
  <c r="O47" i="6"/>
  <c r="P47" i="6"/>
  <c r="Q47" i="6"/>
  <c r="R47" i="6"/>
  <c r="S47" i="6"/>
  <c r="T47" i="6"/>
  <c r="U47" i="6"/>
  <c r="V47" i="6"/>
  <c r="W47" i="6"/>
  <c r="X47" i="6"/>
  <c r="Y47" i="6"/>
  <c r="Z47" i="6"/>
  <c r="AA47" i="6"/>
  <c r="AB47" i="6"/>
  <c r="C48" i="6"/>
  <c r="D48" i="6"/>
  <c r="E48" i="6"/>
  <c r="F48" i="6"/>
  <c r="G48" i="6"/>
  <c r="H48" i="6"/>
  <c r="I48" i="6"/>
  <c r="J48" i="6"/>
  <c r="K48" i="6"/>
  <c r="L48" i="6"/>
  <c r="M48" i="6"/>
  <c r="N48" i="6"/>
  <c r="O48" i="6"/>
  <c r="P48" i="6"/>
  <c r="Q48" i="6"/>
  <c r="R48" i="6"/>
  <c r="S48" i="6"/>
  <c r="T48" i="6"/>
  <c r="U48" i="6"/>
  <c r="V48" i="6"/>
  <c r="W48" i="6"/>
  <c r="X48" i="6"/>
  <c r="Y48" i="6"/>
  <c r="Z48" i="6"/>
  <c r="AA48" i="6"/>
  <c r="AB48" i="6"/>
  <c r="C49" i="6"/>
  <c r="D49" i="6"/>
  <c r="E49" i="6"/>
  <c r="F49" i="6"/>
  <c r="G49" i="6"/>
  <c r="H49" i="6"/>
  <c r="I49" i="6"/>
  <c r="J49" i="6"/>
  <c r="K49" i="6"/>
  <c r="L49" i="6"/>
  <c r="M49" i="6"/>
  <c r="N49" i="6"/>
  <c r="O49" i="6"/>
  <c r="P49" i="6"/>
  <c r="Q49" i="6"/>
  <c r="R49" i="6"/>
  <c r="S49" i="6"/>
  <c r="T49" i="6"/>
  <c r="U49" i="6"/>
  <c r="V49" i="6"/>
  <c r="W49" i="6"/>
  <c r="X49" i="6"/>
  <c r="Y49" i="6"/>
  <c r="Z49" i="6"/>
  <c r="AA49" i="6"/>
  <c r="AB49" i="6"/>
  <c r="C50" i="6"/>
  <c r="D50" i="6"/>
  <c r="E50" i="6"/>
  <c r="F50" i="6"/>
  <c r="G50" i="6"/>
  <c r="H50" i="6"/>
  <c r="I50" i="6"/>
  <c r="J50" i="6"/>
  <c r="K50" i="6"/>
  <c r="L50" i="6"/>
  <c r="M50" i="6"/>
  <c r="N50" i="6"/>
  <c r="O50" i="6"/>
  <c r="P50" i="6"/>
  <c r="Q50" i="6"/>
  <c r="R50" i="6"/>
  <c r="S50" i="6"/>
  <c r="T50" i="6"/>
  <c r="U50" i="6"/>
  <c r="V50" i="6"/>
  <c r="W50" i="6"/>
  <c r="X50" i="6"/>
  <c r="Y50" i="6"/>
  <c r="Z50" i="6"/>
  <c r="AA50" i="6"/>
  <c r="AB50" i="6"/>
  <c r="D51" i="6"/>
  <c r="E51" i="6"/>
  <c r="F51" i="6"/>
  <c r="G51" i="6"/>
  <c r="H51" i="6"/>
  <c r="I51" i="6"/>
  <c r="J51" i="6"/>
  <c r="K51" i="6"/>
  <c r="L51" i="6"/>
  <c r="M51" i="6"/>
  <c r="N51" i="6"/>
  <c r="O51" i="6"/>
  <c r="P51" i="6"/>
  <c r="Q51" i="6"/>
  <c r="R51" i="6"/>
  <c r="S51" i="6"/>
  <c r="T51" i="6"/>
  <c r="U51" i="6"/>
  <c r="V51" i="6"/>
  <c r="W51" i="6"/>
  <c r="X51" i="6"/>
  <c r="Y51" i="6"/>
  <c r="Z51" i="6"/>
  <c r="AA51" i="6"/>
  <c r="AB51" i="6"/>
  <c r="C53" i="6"/>
  <c r="D53" i="6"/>
  <c r="E53" i="6"/>
  <c r="F53" i="6"/>
  <c r="G53" i="6"/>
  <c r="H53" i="6"/>
  <c r="I53" i="6"/>
  <c r="J53" i="6"/>
  <c r="K53" i="6"/>
  <c r="L53" i="6"/>
  <c r="M53" i="6"/>
  <c r="N53" i="6"/>
  <c r="O53" i="6"/>
  <c r="P53" i="6"/>
  <c r="Q53" i="6"/>
  <c r="R53" i="6"/>
  <c r="S53" i="6"/>
  <c r="T53" i="6"/>
  <c r="U53" i="6"/>
  <c r="V53" i="6"/>
  <c r="W53" i="6"/>
  <c r="X53" i="6"/>
  <c r="Y53" i="6"/>
  <c r="Z53" i="6"/>
  <c r="AA53" i="6"/>
  <c r="AB53" i="6"/>
  <c r="C56" i="6"/>
  <c r="D56" i="6"/>
  <c r="E56" i="6"/>
  <c r="F56" i="6"/>
  <c r="G56" i="6"/>
  <c r="H56" i="6"/>
  <c r="I56" i="6"/>
  <c r="J56" i="6"/>
  <c r="K56" i="6"/>
  <c r="L56" i="6"/>
  <c r="M56" i="6"/>
  <c r="N56" i="6"/>
  <c r="O56" i="6"/>
  <c r="P56" i="6"/>
  <c r="Q56" i="6"/>
  <c r="R56" i="6"/>
  <c r="S56" i="6"/>
  <c r="T56" i="6"/>
  <c r="U56" i="6"/>
  <c r="V56" i="6"/>
  <c r="W56" i="6"/>
  <c r="X56" i="6"/>
  <c r="Y56" i="6"/>
  <c r="Z56" i="6"/>
  <c r="AA56" i="6"/>
  <c r="AB56" i="6"/>
  <c r="C57" i="6"/>
  <c r="D57" i="6"/>
  <c r="E57" i="6"/>
  <c r="F57" i="6"/>
  <c r="G57" i="6"/>
  <c r="H57" i="6"/>
  <c r="I57" i="6"/>
  <c r="J57" i="6"/>
  <c r="K57" i="6"/>
  <c r="L57" i="6"/>
  <c r="M57" i="6"/>
  <c r="N57" i="6"/>
  <c r="O57" i="6"/>
  <c r="P57" i="6"/>
  <c r="Q57" i="6"/>
  <c r="R57" i="6"/>
  <c r="S57" i="6"/>
  <c r="T57" i="6"/>
  <c r="U57" i="6"/>
  <c r="V57" i="6"/>
  <c r="W57" i="6"/>
  <c r="X57" i="6"/>
  <c r="Y57" i="6"/>
  <c r="Z57" i="6"/>
  <c r="AA57" i="6"/>
  <c r="AB57" i="6"/>
  <c r="C58" i="6"/>
  <c r="D58" i="6"/>
  <c r="E58" i="6"/>
  <c r="F58" i="6"/>
  <c r="G58" i="6"/>
  <c r="H58" i="6"/>
  <c r="I58" i="6"/>
  <c r="J58" i="6"/>
  <c r="K58" i="6"/>
  <c r="L58" i="6"/>
  <c r="M58" i="6"/>
  <c r="N58" i="6"/>
  <c r="O58" i="6"/>
  <c r="P58" i="6"/>
  <c r="Q58" i="6"/>
  <c r="R58" i="6"/>
  <c r="S58" i="6"/>
  <c r="T58" i="6"/>
  <c r="U58" i="6"/>
  <c r="V58" i="6"/>
  <c r="W58" i="6"/>
  <c r="X58" i="6"/>
  <c r="Y58" i="6"/>
  <c r="Z58" i="6"/>
  <c r="AA58" i="6"/>
  <c r="AB58" i="6"/>
  <c r="D60" i="6"/>
  <c r="E60" i="6"/>
  <c r="F60" i="6"/>
  <c r="G60" i="6"/>
  <c r="H60" i="6"/>
  <c r="I60" i="6"/>
  <c r="J60" i="6"/>
  <c r="K60" i="6"/>
  <c r="L60" i="6"/>
  <c r="M60" i="6"/>
  <c r="N60" i="6"/>
  <c r="O60" i="6"/>
  <c r="P60" i="6"/>
  <c r="Q60" i="6"/>
  <c r="R60" i="6"/>
  <c r="S60" i="6"/>
  <c r="T60" i="6"/>
  <c r="U60" i="6"/>
  <c r="V60" i="6"/>
  <c r="W60" i="6"/>
  <c r="X60" i="6"/>
  <c r="Y60" i="6"/>
  <c r="Z60" i="6"/>
  <c r="AA60" i="6"/>
  <c r="AB60" i="6"/>
  <c r="D63" i="6"/>
  <c r="E63" i="6"/>
  <c r="F63" i="6"/>
  <c r="G63" i="6"/>
  <c r="H63" i="6"/>
  <c r="I63" i="6"/>
  <c r="J63" i="6"/>
  <c r="K63" i="6"/>
  <c r="L63" i="6"/>
  <c r="M63" i="6"/>
  <c r="N63" i="6"/>
  <c r="O63" i="6"/>
  <c r="P63" i="6"/>
  <c r="Q63" i="6"/>
  <c r="R63" i="6"/>
  <c r="S63" i="6"/>
  <c r="T63" i="6"/>
  <c r="U63" i="6"/>
  <c r="V63" i="6"/>
  <c r="W63" i="6"/>
  <c r="X63" i="6"/>
  <c r="Y63" i="6"/>
  <c r="Z63" i="6"/>
  <c r="AA63" i="6"/>
  <c r="AB63" i="6"/>
  <c r="D65" i="6"/>
  <c r="E65" i="6"/>
  <c r="F65" i="6"/>
  <c r="G65" i="6"/>
  <c r="H65" i="6"/>
  <c r="I65" i="6"/>
  <c r="J65" i="6"/>
  <c r="K65" i="6"/>
  <c r="L65" i="6"/>
  <c r="M65" i="6"/>
  <c r="N65" i="6"/>
  <c r="O65" i="6"/>
  <c r="P65" i="6"/>
  <c r="Q65" i="6"/>
  <c r="R65" i="6"/>
  <c r="S65" i="6"/>
  <c r="T65" i="6"/>
  <c r="U65" i="6"/>
  <c r="V65" i="6"/>
  <c r="W65" i="6"/>
  <c r="X65" i="6"/>
  <c r="Y65" i="6"/>
  <c r="Z65" i="6"/>
  <c r="AA65" i="6"/>
  <c r="AB65" i="6"/>
  <c r="D66" i="6"/>
  <c r="D67" i="6"/>
  <c r="E67" i="6"/>
  <c r="F67" i="6"/>
  <c r="G67" i="6"/>
  <c r="H67" i="6"/>
  <c r="I67" i="6"/>
  <c r="J67" i="6"/>
  <c r="K67" i="6"/>
  <c r="L67" i="6"/>
  <c r="M67" i="6"/>
  <c r="N67" i="6"/>
  <c r="O67" i="6"/>
  <c r="P67" i="6"/>
  <c r="Q67" i="6"/>
  <c r="R67" i="6"/>
  <c r="S67" i="6"/>
  <c r="T67" i="6"/>
  <c r="U67" i="6"/>
  <c r="V67" i="6"/>
  <c r="W67" i="6"/>
  <c r="X67" i="6"/>
  <c r="Y67" i="6"/>
  <c r="Z67" i="6"/>
  <c r="AA67" i="6"/>
  <c r="AB67" i="6"/>
  <c r="D69" i="6"/>
  <c r="E69" i="6"/>
  <c r="F69" i="6"/>
  <c r="G69" i="6"/>
  <c r="H69" i="6"/>
  <c r="I69" i="6"/>
  <c r="J69" i="6"/>
  <c r="K69" i="6"/>
  <c r="L69" i="6"/>
  <c r="M69" i="6"/>
  <c r="N69" i="6"/>
  <c r="O69" i="6"/>
  <c r="P69" i="6"/>
  <c r="Q69" i="6"/>
  <c r="R69" i="6"/>
  <c r="S69" i="6"/>
  <c r="T69" i="6"/>
  <c r="U69" i="6"/>
  <c r="V69" i="6"/>
  <c r="W69" i="6"/>
  <c r="X69" i="6"/>
  <c r="Y69" i="6"/>
  <c r="Z69" i="6"/>
  <c r="AA69" i="6"/>
  <c r="AB69" i="6"/>
  <c r="D70" i="6"/>
  <c r="E70" i="6"/>
  <c r="F70" i="6"/>
  <c r="G70" i="6"/>
  <c r="H70" i="6"/>
  <c r="I70" i="6"/>
  <c r="J70" i="6"/>
  <c r="K70" i="6"/>
  <c r="L70" i="6"/>
  <c r="M70" i="6"/>
  <c r="N70" i="6"/>
  <c r="O70" i="6"/>
  <c r="P70" i="6"/>
  <c r="Q70" i="6"/>
  <c r="R70" i="6"/>
  <c r="S70" i="6"/>
  <c r="T70" i="6"/>
  <c r="U70" i="6"/>
  <c r="V70" i="6"/>
  <c r="W70" i="6"/>
  <c r="X70" i="6"/>
  <c r="Y70" i="6"/>
  <c r="Z70" i="6"/>
  <c r="AA70" i="6"/>
  <c r="AB70" i="6"/>
  <c r="D71" i="6"/>
  <c r="E71" i="6"/>
  <c r="F71" i="6"/>
  <c r="G71" i="6"/>
  <c r="H71" i="6"/>
  <c r="I71" i="6"/>
  <c r="J71" i="6"/>
  <c r="K71" i="6"/>
  <c r="L71" i="6"/>
  <c r="M71" i="6"/>
  <c r="N71" i="6"/>
  <c r="O71" i="6"/>
  <c r="P71" i="6"/>
  <c r="Q71" i="6"/>
  <c r="R71" i="6"/>
  <c r="S71" i="6"/>
  <c r="T71" i="6"/>
  <c r="U71" i="6"/>
  <c r="V71" i="6"/>
  <c r="W71" i="6"/>
  <c r="X71" i="6"/>
  <c r="Y71" i="6"/>
  <c r="Z71" i="6"/>
  <c r="AA71" i="6"/>
  <c r="AB71" i="6"/>
  <c r="D72" i="6"/>
  <c r="E72" i="6"/>
  <c r="F72" i="6"/>
  <c r="G72" i="6"/>
  <c r="H72" i="6"/>
  <c r="I72" i="6"/>
  <c r="J72" i="6"/>
  <c r="K72" i="6"/>
  <c r="L72" i="6"/>
  <c r="M72" i="6"/>
  <c r="N72" i="6"/>
  <c r="O72" i="6"/>
  <c r="P72" i="6"/>
  <c r="Q72" i="6"/>
  <c r="R72" i="6"/>
  <c r="S72" i="6"/>
  <c r="T72" i="6"/>
  <c r="U72" i="6"/>
  <c r="V72" i="6"/>
  <c r="W72" i="6"/>
  <c r="X72" i="6"/>
  <c r="Y72" i="6"/>
  <c r="Z72" i="6"/>
  <c r="AA72" i="6"/>
  <c r="AB72" i="6"/>
  <c r="D74" i="6"/>
  <c r="E74" i="6"/>
  <c r="F74" i="6"/>
  <c r="G74" i="6"/>
  <c r="H74" i="6"/>
  <c r="I74" i="6"/>
  <c r="J74" i="6"/>
  <c r="K74" i="6"/>
  <c r="L74" i="6"/>
  <c r="M74" i="6"/>
  <c r="N74" i="6"/>
  <c r="O74" i="6"/>
  <c r="P74" i="6"/>
  <c r="Q74" i="6"/>
  <c r="R74" i="6"/>
  <c r="S74" i="6"/>
  <c r="T74" i="6"/>
  <c r="U74" i="6"/>
  <c r="V74" i="6"/>
  <c r="W74" i="6"/>
  <c r="X74" i="6"/>
  <c r="Y74" i="6"/>
  <c r="Z74" i="6"/>
  <c r="AA74" i="6"/>
  <c r="AB74" i="6"/>
  <c r="D75" i="6"/>
  <c r="E75" i="6"/>
  <c r="F75" i="6"/>
  <c r="G75" i="6"/>
  <c r="H75" i="6"/>
  <c r="I75" i="6"/>
  <c r="J75" i="6"/>
  <c r="K75" i="6"/>
  <c r="L75" i="6"/>
  <c r="M75" i="6"/>
  <c r="N75" i="6"/>
  <c r="O75" i="6"/>
  <c r="P75" i="6"/>
  <c r="Q75" i="6"/>
  <c r="R75" i="6"/>
  <c r="S75" i="6"/>
  <c r="T75" i="6"/>
  <c r="U75" i="6"/>
  <c r="V75" i="6"/>
  <c r="W75" i="6"/>
  <c r="X75" i="6"/>
  <c r="Y75" i="6"/>
  <c r="Z75" i="6"/>
  <c r="AA75" i="6"/>
  <c r="AB75" i="6"/>
  <c r="C77" i="6"/>
  <c r="F77" i="6"/>
  <c r="C78" i="6"/>
  <c r="F78" i="6"/>
  <c r="A1" i="16"/>
  <c r="D3" i="16"/>
  <c r="E3" i="16"/>
  <c r="F3" i="16"/>
  <c r="G3" i="16"/>
  <c r="H3" i="16"/>
  <c r="I3" i="16"/>
  <c r="J3" i="16"/>
  <c r="K3" i="16"/>
  <c r="L3" i="16"/>
  <c r="M3" i="16"/>
  <c r="N3" i="16"/>
  <c r="O3" i="16"/>
  <c r="P3" i="16"/>
  <c r="Q3" i="16"/>
  <c r="R3" i="16"/>
  <c r="S3" i="16"/>
  <c r="T3" i="16"/>
  <c r="U3" i="16"/>
  <c r="V3" i="16"/>
  <c r="W3" i="16"/>
  <c r="X3" i="16"/>
  <c r="D4" i="16"/>
  <c r="E4" i="16"/>
  <c r="F4" i="16"/>
  <c r="G4" i="16"/>
  <c r="H4" i="16"/>
  <c r="I4" i="16"/>
  <c r="J4" i="16"/>
  <c r="K4" i="16"/>
  <c r="L4" i="16"/>
  <c r="M4" i="16"/>
  <c r="N4" i="16"/>
  <c r="O4" i="16"/>
  <c r="P4" i="16"/>
  <c r="Q4" i="16"/>
  <c r="R4" i="16"/>
  <c r="S4" i="16"/>
  <c r="T4" i="16"/>
  <c r="U4" i="16"/>
  <c r="V4" i="16"/>
  <c r="W4" i="16"/>
  <c r="X4" i="16"/>
  <c r="D10" i="16"/>
  <c r="E10" i="16"/>
  <c r="F10" i="16"/>
  <c r="G10" i="16"/>
  <c r="H10" i="16"/>
  <c r="I10" i="16"/>
  <c r="J10" i="16"/>
  <c r="K10" i="16"/>
  <c r="L10" i="16"/>
  <c r="M10" i="16"/>
  <c r="N10" i="16"/>
  <c r="O10" i="16"/>
  <c r="P10" i="16"/>
  <c r="Q10" i="16"/>
  <c r="R10" i="16"/>
  <c r="S10" i="16"/>
  <c r="T10" i="16"/>
  <c r="U10" i="16"/>
  <c r="V10" i="16"/>
  <c r="W10" i="16"/>
  <c r="X10" i="16"/>
  <c r="D11" i="16"/>
  <c r="E11" i="16"/>
  <c r="F11" i="16"/>
  <c r="G11" i="16"/>
  <c r="H11" i="16"/>
  <c r="I11" i="16"/>
  <c r="J11" i="16"/>
  <c r="K11" i="16"/>
  <c r="L11" i="16"/>
  <c r="M11" i="16"/>
  <c r="N11" i="16"/>
  <c r="O11" i="16"/>
  <c r="P11" i="16"/>
  <c r="Q11" i="16"/>
  <c r="R11" i="16"/>
  <c r="S11" i="16"/>
  <c r="T11" i="16"/>
  <c r="U11" i="16"/>
  <c r="V11" i="16"/>
  <c r="W11" i="16"/>
  <c r="X11" i="16"/>
  <c r="D12" i="16"/>
  <c r="E12" i="16"/>
  <c r="F12" i="16"/>
  <c r="G12" i="16"/>
  <c r="H12" i="16"/>
  <c r="I12" i="16"/>
  <c r="J12" i="16"/>
  <c r="K12" i="16"/>
  <c r="L12" i="16"/>
  <c r="M12" i="16"/>
  <c r="N12" i="16"/>
  <c r="O12" i="16"/>
  <c r="P12" i="16"/>
  <c r="Q12" i="16"/>
  <c r="R12" i="16"/>
  <c r="S12" i="16"/>
  <c r="T12" i="16"/>
  <c r="U12" i="16"/>
  <c r="V12" i="16"/>
  <c r="W12" i="16"/>
  <c r="X12" i="16"/>
  <c r="D15" i="16"/>
  <c r="E15" i="16"/>
  <c r="F15" i="16"/>
  <c r="G15" i="16"/>
  <c r="H15" i="16"/>
  <c r="I15" i="16"/>
  <c r="J15" i="16"/>
  <c r="K15" i="16"/>
  <c r="L15" i="16"/>
  <c r="M15" i="16"/>
  <c r="N15" i="16"/>
  <c r="O15" i="16"/>
  <c r="P15" i="16"/>
  <c r="Q15" i="16"/>
  <c r="R15" i="16"/>
  <c r="S15" i="16"/>
  <c r="T15" i="16"/>
  <c r="U15" i="16"/>
  <c r="V15" i="16"/>
  <c r="W15" i="16"/>
  <c r="X15" i="16"/>
  <c r="D16" i="16"/>
  <c r="E16" i="16"/>
  <c r="F16" i="16"/>
  <c r="G16" i="16"/>
  <c r="H16" i="16"/>
  <c r="I16" i="16"/>
  <c r="J16" i="16"/>
  <c r="K16" i="16"/>
  <c r="L16" i="16"/>
  <c r="M16" i="16"/>
  <c r="N16" i="16"/>
  <c r="O16" i="16"/>
  <c r="P16" i="16"/>
  <c r="Q16" i="16"/>
  <c r="R16" i="16"/>
  <c r="S16" i="16"/>
  <c r="T16" i="16"/>
  <c r="U16" i="16"/>
  <c r="V16" i="16"/>
  <c r="W16" i="16"/>
  <c r="X16" i="16"/>
  <c r="D17" i="16"/>
  <c r="E17" i="16"/>
  <c r="F17" i="16"/>
  <c r="G17" i="16"/>
  <c r="H17" i="16"/>
  <c r="I17" i="16"/>
  <c r="J17" i="16"/>
  <c r="K17" i="16"/>
  <c r="L17" i="16"/>
  <c r="M17" i="16"/>
  <c r="N17" i="16"/>
  <c r="O17" i="16"/>
  <c r="P17" i="16"/>
  <c r="Q17" i="16"/>
  <c r="R17" i="16"/>
  <c r="S17" i="16"/>
  <c r="T17" i="16"/>
  <c r="U17" i="16"/>
  <c r="V17" i="16"/>
  <c r="W17" i="16"/>
  <c r="X17" i="16"/>
  <c r="D18" i="16"/>
  <c r="E18" i="16"/>
  <c r="F18" i="16"/>
  <c r="G18" i="16"/>
  <c r="H18" i="16"/>
  <c r="I18" i="16"/>
  <c r="J18" i="16"/>
  <c r="K18" i="16"/>
  <c r="L18" i="16"/>
  <c r="M18" i="16"/>
  <c r="N18" i="16"/>
  <c r="O18" i="16"/>
  <c r="P18" i="16"/>
  <c r="Q18" i="16"/>
  <c r="R18" i="16"/>
  <c r="S18" i="16"/>
  <c r="T18" i="16"/>
  <c r="U18" i="16"/>
  <c r="V18" i="16"/>
  <c r="W18" i="16"/>
  <c r="X18" i="16"/>
  <c r="D21" i="16"/>
  <c r="E21" i="16"/>
  <c r="F21" i="16"/>
  <c r="G21" i="16"/>
  <c r="H21" i="16"/>
  <c r="I21" i="16"/>
  <c r="J21" i="16"/>
  <c r="K21" i="16"/>
  <c r="L21" i="16"/>
  <c r="M21" i="16"/>
  <c r="N21" i="16"/>
  <c r="O21" i="16"/>
  <c r="P21" i="16"/>
  <c r="Q21" i="16"/>
  <c r="R21" i="16"/>
  <c r="S21" i="16"/>
  <c r="T21" i="16"/>
  <c r="U21" i="16"/>
  <c r="V21" i="16"/>
  <c r="W21" i="16"/>
  <c r="X21" i="16"/>
  <c r="D24" i="16"/>
  <c r="E24" i="16"/>
  <c r="F24" i="16"/>
  <c r="G24" i="16"/>
  <c r="H24" i="16"/>
  <c r="I24" i="16"/>
  <c r="J24" i="16"/>
  <c r="K24" i="16"/>
  <c r="L24" i="16"/>
  <c r="M24" i="16"/>
  <c r="N24" i="16"/>
  <c r="O24" i="16"/>
  <c r="P24" i="16"/>
  <c r="Q24" i="16"/>
  <c r="R24" i="16"/>
  <c r="S24" i="16"/>
  <c r="T24" i="16"/>
  <c r="U24" i="16"/>
  <c r="V24" i="16"/>
  <c r="W24" i="16"/>
  <c r="X24" i="16"/>
  <c r="D26" i="16"/>
  <c r="E26" i="16"/>
  <c r="F26" i="16"/>
  <c r="G26" i="16"/>
  <c r="H26" i="16"/>
  <c r="I26" i="16"/>
  <c r="J26" i="16"/>
  <c r="K26" i="16"/>
  <c r="L26" i="16"/>
  <c r="M26" i="16"/>
  <c r="N26" i="16"/>
  <c r="O26" i="16"/>
  <c r="P26" i="16"/>
  <c r="Q26" i="16"/>
  <c r="R26" i="16"/>
  <c r="S26" i="16"/>
  <c r="T26" i="16"/>
  <c r="U26" i="16"/>
  <c r="V26" i="16"/>
  <c r="W26" i="16"/>
  <c r="X26" i="16"/>
  <c r="D28" i="16"/>
  <c r="E28" i="16"/>
  <c r="F28" i="16"/>
  <c r="G28" i="16"/>
  <c r="H28" i="16"/>
  <c r="I28" i="16"/>
  <c r="J28" i="16"/>
  <c r="K28" i="16"/>
  <c r="L28" i="16"/>
  <c r="M28" i="16"/>
  <c r="N28" i="16"/>
  <c r="O28" i="16"/>
  <c r="P28" i="16"/>
  <c r="Q28" i="16"/>
  <c r="R28" i="16"/>
  <c r="S28" i="16"/>
  <c r="T28" i="16"/>
  <c r="U28" i="16"/>
  <c r="V28" i="16"/>
  <c r="W28" i="16"/>
  <c r="X28" i="16"/>
  <c r="D30" i="16"/>
  <c r="E30" i="16"/>
  <c r="F30" i="16"/>
  <c r="G30" i="16"/>
  <c r="H30" i="16"/>
  <c r="I30" i="16"/>
  <c r="J30" i="16"/>
  <c r="K30" i="16"/>
  <c r="L30" i="16"/>
  <c r="M30" i="16"/>
  <c r="N30" i="16"/>
  <c r="O30" i="16"/>
  <c r="P30" i="16"/>
  <c r="Q30" i="16"/>
  <c r="R30" i="16"/>
  <c r="S30" i="16"/>
  <c r="T30" i="16"/>
  <c r="U30" i="16"/>
  <c r="V30" i="16"/>
  <c r="W30" i="16"/>
  <c r="X30" i="16"/>
  <c r="D33" i="16"/>
  <c r="E33" i="16"/>
  <c r="F33" i="16"/>
  <c r="G33" i="16"/>
  <c r="H33" i="16"/>
  <c r="I33" i="16"/>
  <c r="J33" i="16"/>
  <c r="K33" i="16"/>
  <c r="L33" i="16"/>
  <c r="M33" i="16"/>
  <c r="N33" i="16"/>
  <c r="O33" i="16"/>
  <c r="P33" i="16"/>
  <c r="Q33" i="16"/>
  <c r="R33" i="16"/>
  <c r="S33" i="16"/>
  <c r="T33" i="16"/>
  <c r="U33" i="16"/>
  <c r="V33" i="16"/>
  <c r="W33" i="16"/>
  <c r="X33" i="16"/>
  <c r="D34" i="16"/>
  <c r="E34" i="16"/>
  <c r="F34" i="16"/>
  <c r="G34" i="16"/>
  <c r="H34" i="16"/>
  <c r="I34" i="16"/>
  <c r="J34" i="16"/>
  <c r="K34" i="16"/>
  <c r="L34" i="16"/>
  <c r="M34" i="16"/>
  <c r="N34" i="16"/>
  <c r="O34" i="16"/>
  <c r="P34" i="16"/>
  <c r="Q34" i="16"/>
  <c r="R34" i="16"/>
  <c r="S34" i="16"/>
  <c r="T34" i="16"/>
  <c r="U34" i="16"/>
  <c r="V34" i="16"/>
  <c r="W34" i="16"/>
  <c r="X34" i="16"/>
  <c r="D35" i="16"/>
  <c r="E35" i="16"/>
  <c r="F35" i="16"/>
  <c r="G35" i="16"/>
  <c r="H35" i="16"/>
  <c r="I35" i="16"/>
  <c r="J35" i="16"/>
  <c r="K35" i="16"/>
  <c r="L35" i="16"/>
  <c r="M35" i="16"/>
  <c r="N35" i="16"/>
  <c r="O35" i="16"/>
  <c r="P35" i="16"/>
  <c r="Q35" i="16"/>
  <c r="R35" i="16"/>
  <c r="S35" i="16"/>
  <c r="T35" i="16"/>
  <c r="U35" i="16"/>
  <c r="V35" i="16"/>
  <c r="W35" i="16"/>
  <c r="X35" i="16"/>
  <c r="D36" i="16"/>
  <c r="E36" i="16"/>
  <c r="F36" i="16"/>
  <c r="G36" i="16"/>
  <c r="H36" i="16"/>
  <c r="I36" i="16"/>
  <c r="J36" i="16"/>
  <c r="K36" i="16"/>
  <c r="L36" i="16"/>
  <c r="M36" i="16"/>
  <c r="N36" i="16"/>
  <c r="O36" i="16"/>
  <c r="P36" i="16"/>
  <c r="Q36" i="16"/>
  <c r="R36" i="16"/>
  <c r="S36" i="16"/>
  <c r="T36" i="16"/>
  <c r="U36" i="16"/>
  <c r="V36" i="16"/>
  <c r="W36" i="16"/>
  <c r="X36" i="16"/>
  <c r="D38" i="16"/>
  <c r="E38" i="16"/>
  <c r="F38" i="16"/>
  <c r="G38" i="16"/>
  <c r="H38" i="16"/>
  <c r="I38" i="16"/>
  <c r="J38" i="16"/>
  <c r="K38" i="16"/>
  <c r="L38" i="16"/>
  <c r="M38" i="16"/>
  <c r="N38" i="16"/>
  <c r="O38" i="16"/>
  <c r="P38" i="16"/>
  <c r="Q38" i="16"/>
  <c r="R38" i="16"/>
  <c r="S38" i="16"/>
  <c r="T38" i="16"/>
  <c r="U38" i="16"/>
  <c r="V38" i="16"/>
  <c r="W38" i="16"/>
  <c r="X38" i="16"/>
  <c r="A43" i="16"/>
  <c r="A1" i="7"/>
  <c r="E3" i="7"/>
  <c r="F3" i="7"/>
  <c r="G3" i="7"/>
  <c r="H3" i="7"/>
  <c r="I3" i="7"/>
  <c r="J3" i="7"/>
  <c r="K3" i="7"/>
  <c r="L3" i="7"/>
  <c r="M3" i="7"/>
  <c r="N3" i="7"/>
  <c r="O3" i="7"/>
  <c r="P3" i="7"/>
  <c r="Q3" i="7"/>
  <c r="R3" i="7"/>
  <c r="S3" i="7"/>
  <c r="T3" i="7"/>
  <c r="U3" i="7"/>
  <c r="V3" i="7"/>
  <c r="W3" i="7"/>
  <c r="X3" i="7"/>
  <c r="Y3" i="7"/>
  <c r="Z3" i="7"/>
  <c r="AA3" i="7"/>
  <c r="AB3" i="7"/>
  <c r="D4" i="7"/>
  <c r="E4" i="7"/>
  <c r="F4" i="7"/>
  <c r="G4" i="7"/>
  <c r="H4" i="7"/>
  <c r="I4" i="7"/>
  <c r="J4" i="7"/>
  <c r="K4" i="7"/>
  <c r="L4" i="7"/>
  <c r="M4" i="7"/>
  <c r="N4" i="7"/>
  <c r="O4" i="7"/>
  <c r="P4" i="7"/>
  <c r="Q4" i="7"/>
  <c r="R4" i="7"/>
  <c r="S4" i="7"/>
  <c r="T4" i="7"/>
  <c r="U4" i="7"/>
  <c r="V4" i="7"/>
  <c r="W4" i="7"/>
  <c r="X4" i="7"/>
  <c r="Y4" i="7"/>
  <c r="Z4" i="7"/>
  <c r="AA4" i="7"/>
  <c r="AB4" i="7"/>
  <c r="C6" i="7"/>
  <c r="D6" i="7"/>
  <c r="E6" i="7"/>
  <c r="F6" i="7"/>
  <c r="G6" i="7"/>
  <c r="H6" i="7"/>
  <c r="I6" i="7"/>
  <c r="J6" i="7"/>
  <c r="K6" i="7"/>
  <c r="L6" i="7"/>
  <c r="M6" i="7"/>
  <c r="N6" i="7"/>
  <c r="O6" i="7"/>
  <c r="P6" i="7"/>
  <c r="Q6" i="7"/>
  <c r="R6" i="7"/>
  <c r="S6" i="7"/>
  <c r="T6" i="7"/>
  <c r="U6" i="7"/>
  <c r="V6" i="7"/>
  <c r="W6" i="7"/>
  <c r="X6" i="7"/>
  <c r="Y6" i="7"/>
  <c r="Z6" i="7"/>
  <c r="AA6" i="7"/>
  <c r="AB6" i="7"/>
  <c r="C7" i="7"/>
  <c r="D7" i="7"/>
  <c r="E7" i="7"/>
  <c r="F7" i="7"/>
  <c r="G7" i="7"/>
  <c r="H7" i="7"/>
  <c r="I7" i="7"/>
  <c r="J7" i="7"/>
  <c r="K7" i="7"/>
  <c r="L7" i="7"/>
  <c r="M7" i="7"/>
  <c r="N7" i="7"/>
  <c r="O7" i="7"/>
  <c r="P7" i="7"/>
  <c r="Q7" i="7"/>
  <c r="R7" i="7"/>
  <c r="S7" i="7"/>
  <c r="T7" i="7"/>
  <c r="U7" i="7"/>
  <c r="V7" i="7"/>
  <c r="W7" i="7"/>
  <c r="X7" i="7"/>
  <c r="Y7" i="7"/>
  <c r="Z7" i="7"/>
  <c r="AA7" i="7"/>
  <c r="AB7" i="7"/>
  <c r="D8" i="7"/>
  <c r="E8" i="7"/>
  <c r="F8" i="7"/>
  <c r="G8" i="7"/>
  <c r="H8" i="7"/>
  <c r="I8" i="7"/>
  <c r="J8" i="7"/>
  <c r="K8" i="7"/>
  <c r="L8" i="7"/>
  <c r="M8" i="7"/>
  <c r="N8" i="7"/>
  <c r="O8" i="7"/>
  <c r="P8" i="7"/>
  <c r="Q8" i="7"/>
  <c r="R8" i="7"/>
  <c r="S8" i="7"/>
  <c r="T8" i="7"/>
  <c r="U8" i="7"/>
  <c r="V8" i="7"/>
  <c r="W8" i="7"/>
  <c r="X8" i="7"/>
  <c r="Y8" i="7"/>
  <c r="Z8" i="7"/>
  <c r="AA8" i="7"/>
  <c r="AB8" i="7"/>
  <c r="D9" i="7"/>
  <c r="E9" i="7"/>
  <c r="F9" i="7"/>
  <c r="G9" i="7"/>
  <c r="H9" i="7"/>
  <c r="I9" i="7"/>
  <c r="J9" i="7"/>
  <c r="K9" i="7"/>
  <c r="L9" i="7"/>
  <c r="M9" i="7"/>
  <c r="N9" i="7"/>
  <c r="O9" i="7"/>
  <c r="P9" i="7"/>
  <c r="Q9" i="7"/>
  <c r="R9" i="7"/>
  <c r="S9" i="7"/>
  <c r="T9" i="7"/>
  <c r="U9" i="7"/>
  <c r="V9" i="7"/>
  <c r="W9" i="7"/>
  <c r="X9" i="7"/>
  <c r="Y9" i="7"/>
  <c r="Z9" i="7"/>
  <c r="AA9" i="7"/>
  <c r="AB9" i="7"/>
  <c r="C10" i="7"/>
  <c r="D10" i="7"/>
  <c r="E10" i="7"/>
  <c r="F10" i="7"/>
  <c r="G10" i="7"/>
  <c r="H10" i="7"/>
  <c r="I10" i="7"/>
  <c r="J10" i="7"/>
  <c r="K10" i="7"/>
  <c r="L10" i="7"/>
  <c r="M10" i="7"/>
  <c r="N10" i="7"/>
  <c r="O10" i="7"/>
  <c r="P10" i="7"/>
  <c r="Q10" i="7"/>
  <c r="R10" i="7"/>
  <c r="S10" i="7"/>
  <c r="T10" i="7"/>
  <c r="U10" i="7"/>
  <c r="V10" i="7"/>
  <c r="W10" i="7"/>
  <c r="X10" i="7"/>
  <c r="Y10" i="7"/>
  <c r="Z10" i="7"/>
  <c r="AA10" i="7"/>
  <c r="AB10" i="7"/>
  <c r="C12" i="7"/>
  <c r="D12" i="7"/>
  <c r="E12" i="7"/>
  <c r="F12" i="7"/>
  <c r="G12" i="7"/>
  <c r="H12" i="7"/>
  <c r="I12" i="7"/>
  <c r="J12" i="7"/>
  <c r="K12" i="7"/>
  <c r="L12" i="7"/>
  <c r="M12" i="7"/>
  <c r="N12" i="7"/>
  <c r="O12" i="7"/>
  <c r="P12" i="7"/>
  <c r="Q12" i="7"/>
  <c r="R12" i="7"/>
  <c r="S12" i="7"/>
  <c r="T12" i="7"/>
  <c r="U12" i="7"/>
  <c r="V12" i="7"/>
  <c r="W12" i="7"/>
  <c r="X12" i="7"/>
  <c r="Y12" i="7"/>
  <c r="Z12" i="7"/>
  <c r="AA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D14" i="7"/>
  <c r="E14" i="7"/>
  <c r="F14" i="7"/>
  <c r="G14" i="7"/>
  <c r="H14" i="7"/>
  <c r="I14" i="7"/>
  <c r="J14" i="7"/>
  <c r="K14" i="7"/>
  <c r="L14" i="7"/>
  <c r="M14" i="7"/>
  <c r="N14" i="7"/>
  <c r="O14" i="7"/>
  <c r="P14" i="7"/>
  <c r="Q14" i="7"/>
  <c r="R14" i="7"/>
  <c r="S14" i="7"/>
  <c r="T14" i="7"/>
  <c r="U14" i="7"/>
  <c r="V14" i="7"/>
  <c r="W14" i="7"/>
  <c r="X14" i="7"/>
  <c r="Y14" i="7"/>
  <c r="Z14" i="7"/>
  <c r="AA14" i="7"/>
  <c r="AB14" i="7"/>
  <c r="C17" i="7"/>
  <c r="C20" i="7"/>
  <c r="D20" i="7"/>
  <c r="E20" i="7"/>
  <c r="F20" i="7"/>
  <c r="G20" i="7"/>
  <c r="H20" i="7"/>
  <c r="I20" i="7"/>
  <c r="J20" i="7"/>
  <c r="K20" i="7"/>
  <c r="L20" i="7"/>
  <c r="M20" i="7"/>
  <c r="N20" i="7"/>
  <c r="O20" i="7"/>
  <c r="P20" i="7"/>
  <c r="Q20" i="7"/>
  <c r="R20" i="7"/>
  <c r="S20" i="7"/>
  <c r="T20" i="7"/>
  <c r="U20" i="7"/>
  <c r="V20" i="7"/>
  <c r="W20" i="7"/>
  <c r="X20" i="7"/>
  <c r="Y20" i="7"/>
  <c r="Z20" i="7"/>
  <c r="AA20" i="7"/>
  <c r="AB20" i="7"/>
  <c r="D21" i="7"/>
  <c r="E21" i="7"/>
  <c r="F21" i="7"/>
  <c r="G21" i="7"/>
  <c r="H21" i="7"/>
  <c r="I21" i="7"/>
  <c r="J21" i="7"/>
  <c r="K21" i="7"/>
  <c r="L21" i="7"/>
  <c r="M21" i="7"/>
  <c r="N21" i="7"/>
  <c r="O21" i="7"/>
  <c r="P21" i="7"/>
  <c r="Q21" i="7"/>
  <c r="R21" i="7"/>
  <c r="S21" i="7"/>
  <c r="T21" i="7"/>
  <c r="U21" i="7"/>
  <c r="V21" i="7"/>
  <c r="W21" i="7"/>
  <c r="X21" i="7"/>
  <c r="Y21" i="7"/>
  <c r="Z21" i="7"/>
  <c r="AA21" i="7"/>
  <c r="AB21" i="7"/>
  <c r="C22" i="7"/>
  <c r="D22" i="7"/>
  <c r="E22" i="7"/>
  <c r="F22" i="7"/>
  <c r="G22" i="7"/>
  <c r="H22" i="7"/>
  <c r="I22" i="7"/>
  <c r="J22" i="7"/>
  <c r="K22" i="7"/>
  <c r="L22" i="7"/>
  <c r="M22" i="7"/>
  <c r="N22" i="7"/>
  <c r="O22" i="7"/>
  <c r="P22" i="7"/>
  <c r="Q22" i="7"/>
  <c r="R22" i="7"/>
  <c r="S22" i="7"/>
  <c r="T22" i="7"/>
  <c r="U22" i="7"/>
  <c r="V22" i="7"/>
  <c r="W22" i="7"/>
  <c r="X22" i="7"/>
  <c r="Y22" i="7"/>
  <c r="Z22" i="7"/>
  <c r="AA22" i="7"/>
  <c r="AB22" i="7"/>
  <c r="D27" i="7"/>
  <c r="E27" i="7"/>
  <c r="F27" i="7"/>
  <c r="G27" i="7"/>
  <c r="H27" i="7"/>
  <c r="I27" i="7"/>
  <c r="J27" i="7"/>
  <c r="K27" i="7"/>
  <c r="L27" i="7"/>
  <c r="M27" i="7"/>
  <c r="N27" i="7"/>
  <c r="O27" i="7"/>
  <c r="P27" i="7"/>
  <c r="Q27" i="7"/>
  <c r="R27" i="7"/>
  <c r="S27" i="7"/>
  <c r="T27" i="7"/>
  <c r="U27" i="7"/>
  <c r="V27" i="7"/>
  <c r="W27" i="7"/>
  <c r="X27" i="7"/>
  <c r="Y27" i="7"/>
  <c r="Z27" i="7"/>
  <c r="AA27" i="7"/>
  <c r="AB27" i="7"/>
  <c r="D28" i="7"/>
  <c r="D29" i="7"/>
  <c r="E29" i="7"/>
  <c r="F29" i="7"/>
  <c r="G29" i="7"/>
  <c r="H29" i="7"/>
  <c r="I29" i="7"/>
  <c r="J29" i="7"/>
  <c r="K29" i="7"/>
  <c r="L29" i="7"/>
  <c r="M29" i="7"/>
  <c r="N29" i="7"/>
  <c r="O29" i="7"/>
  <c r="P29" i="7"/>
  <c r="Q29" i="7"/>
  <c r="R29" i="7"/>
  <c r="S29" i="7"/>
  <c r="T29" i="7"/>
  <c r="U29" i="7"/>
  <c r="V29" i="7"/>
  <c r="W29" i="7"/>
  <c r="X29" i="7"/>
  <c r="Y29" i="7"/>
  <c r="Z29" i="7"/>
  <c r="AA29" i="7"/>
  <c r="AB29" i="7"/>
  <c r="D30" i="7"/>
  <c r="E30" i="7"/>
  <c r="F30" i="7"/>
  <c r="G30" i="7"/>
  <c r="H30" i="7"/>
  <c r="I30" i="7"/>
  <c r="J30" i="7"/>
  <c r="K30" i="7"/>
  <c r="L30" i="7"/>
  <c r="M30" i="7"/>
  <c r="N30" i="7"/>
  <c r="O30" i="7"/>
  <c r="P30" i="7"/>
  <c r="Q30" i="7"/>
  <c r="R30" i="7"/>
  <c r="S30" i="7"/>
  <c r="T30" i="7"/>
  <c r="U30" i="7"/>
  <c r="V30" i="7"/>
  <c r="W30" i="7"/>
  <c r="X30" i="7"/>
  <c r="Y30" i="7"/>
  <c r="Z30" i="7"/>
  <c r="AA30" i="7"/>
  <c r="AB30" i="7"/>
  <c r="D31" i="7"/>
  <c r="E31" i="7"/>
  <c r="F31" i="7"/>
  <c r="G31" i="7"/>
  <c r="H31" i="7"/>
  <c r="I31" i="7"/>
  <c r="J31" i="7"/>
  <c r="K31" i="7"/>
  <c r="L31" i="7"/>
  <c r="M31" i="7"/>
  <c r="N31" i="7"/>
  <c r="O31" i="7"/>
  <c r="P31" i="7"/>
  <c r="Q31" i="7"/>
  <c r="R31" i="7"/>
  <c r="S31" i="7"/>
  <c r="T31" i="7"/>
  <c r="U31" i="7"/>
  <c r="V31" i="7"/>
  <c r="W31" i="7"/>
  <c r="X31" i="7"/>
  <c r="Y31" i="7"/>
  <c r="Z31" i="7"/>
  <c r="AA31" i="7"/>
  <c r="AB31" i="7"/>
  <c r="D32" i="7"/>
  <c r="E32" i="7"/>
  <c r="F32" i="7"/>
  <c r="G32" i="7"/>
  <c r="H32" i="7"/>
  <c r="I32" i="7"/>
  <c r="J32" i="7"/>
  <c r="K32" i="7"/>
  <c r="L32" i="7"/>
  <c r="M32" i="7"/>
  <c r="N32" i="7"/>
  <c r="O32" i="7"/>
  <c r="P32" i="7"/>
  <c r="Q32" i="7"/>
  <c r="R32" i="7"/>
  <c r="S32" i="7"/>
  <c r="T32" i="7"/>
  <c r="U32" i="7"/>
  <c r="V32" i="7"/>
  <c r="W32" i="7"/>
  <c r="X32" i="7"/>
  <c r="Y32" i="7"/>
  <c r="Z32" i="7"/>
  <c r="AA32" i="7"/>
  <c r="AB32" i="7"/>
  <c r="D36" i="7"/>
  <c r="E36" i="7"/>
  <c r="F36" i="7"/>
  <c r="G36" i="7"/>
  <c r="H36" i="7"/>
  <c r="I36" i="7"/>
  <c r="J36" i="7"/>
  <c r="K36" i="7"/>
  <c r="L36" i="7"/>
  <c r="M36" i="7"/>
  <c r="N36" i="7"/>
  <c r="O36" i="7"/>
  <c r="P36" i="7"/>
  <c r="Q36" i="7"/>
  <c r="R36" i="7"/>
  <c r="S36" i="7"/>
  <c r="T36" i="7"/>
  <c r="U36" i="7"/>
  <c r="V36" i="7"/>
  <c r="W36" i="7"/>
  <c r="X36" i="7"/>
  <c r="Y36" i="7"/>
  <c r="Z36" i="7"/>
  <c r="AA36" i="7"/>
  <c r="AB36" i="7"/>
  <c r="D38" i="7"/>
  <c r="E38" i="7"/>
  <c r="F38" i="7"/>
  <c r="A1" i="4"/>
  <c r="E4" i="4"/>
  <c r="F4" i="4"/>
  <c r="G4" i="4"/>
  <c r="H4" i="4"/>
  <c r="I4" i="4"/>
  <c r="J4" i="4"/>
  <c r="K4" i="4"/>
  <c r="L4" i="4"/>
  <c r="M4" i="4"/>
  <c r="N4" i="4"/>
  <c r="O4" i="4"/>
  <c r="P4" i="4"/>
  <c r="Q4" i="4"/>
  <c r="R4" i="4"/>
  <c r="S4" i="4"/>
  <c r="T4" i="4"/>
  <c r="U4" i="4"/>
  <c r="V4" i="4"/>
  <c r="W4" i="4"/>
  <c r="X4" i="4"/>
  <c r="Y4" i="4"/>
  <c r="Z4" i="4"/>
  <c r="AA4" i="4"/>
  <c r="AB4" i="4"/>
  <c r="AC4" i="4"/>
  <c r="E5" i="4"/>
  <c r="F5" i="4"/>
  <c r="G5" i="4"/>
  <c r="H5" i="4"/>
  <c r="I5" i="4"/>
  <c r="J5" i="4"/>
  <c r="K5" i="4"/>
  <c r="L5" i="4"/>
  <c r="M5" i="4"/>
  <c r="N5" i="4"/>
  <c r="O5" i="4"/>
  <c r="P5" i="4"/>
  <c r="Q5" i="4"/>
  <c r="R5" i="4"/>
  <c r="S5" i="4"/>
  <c r="T5" i="4"/>
  <c r="U5" i="4"/>
  <c r="V5" i="4"/>
  <c r="W5" i="4"/>
  <c r="X5" i="4"/>
  <c r="Y5" i="4"/>
  <c r="Z5" i="4"/>
  <c r="AA5" i="4"/>
  <c r="AB5" i="4"/>
  <c r="AC5" i="4"/>
  <c r="E6" i="4"/>
  <c r="F6" i="4"/>
  <c r="G6" i="4"/>
  <c r="H6" i="4"/>
  <c r="I6" i="4"/>
  <c r="J6" i="4"/>
  <c r="K6" i="4"/>
  <c r="L6" i="4"/>
  <c r="M6" i="4"/>
  <c r="N6" i="4"/>
  <c r="O6" i="4"/>
  <c r="P6" i="4"/>
  <c r="Q6" i="4"/>
  <c r="R6" i="4"/>
  <c r="S6" i="4"/>
  <c r="T6" i="4"/>
  <c r="U6" i="4"/>
  <c r="V6" i="4"/>
  <c r="W6" i="4"/>
  <c r="X6" i="4"/>
  <c r="Y6" i="4"/>
  <c r="Z6" i="4"/>
  <c r="AA6" i="4"/>
  <c r="AB6" i="4"/>
  <c r="AC6" i="4"/>
  <c r="E8" i="4"/>
  <c r="F8" i="4"/>
  <c r="G8" i="4"/>
  <c r="H8" i="4"/>
  <c r="I8" i="4"/>
  <c r="J8" i="4"/>
  <c r="K8" i="4"/>
  <c r="L8" i="4"/>
  <c r="M8" i="4"/>
  <c r="N8" i="4"/>
  <c r="O8" i="4"/>
  <c r="P8" i="4"/>
  <c r="Q8" i="4"/>
  <c r="R8" i="4"/>
  <c r="S8" i="4"/>
  <c r="T8" i="4"/>
  <c r="U8" i="4"/>
  <c r="V8" i="4"/>
  <c r="W8" i="4"/>
  <c r="X8" i="4"/>
  <c r="Y8" i="4"/>
  <c r="Z8" i="4"/>
  <c r="AA8" i="4"/>
  <c r="AB8" i="4"/>
  <c r="AC8" i="4"/>
  <c r="E9" i="4"/>
  <c r="F9" i="4"/>
  <c r="G9" i="4"/>
  <c r="H9" i="4"/>
  <c r="I9" i="4"/>
  <c r="J9" i="4"/>
  <c r="K9" i="4"/>
  <c r="L9" i="4"/>
  <c r="M9" i="4"/>
  <c r="N9" i="4"/>
  <c r="O9" i="4"/>
  <c r="P9" i="4"/>
  <c r="Q9" i="4"/>
  <c r="R9" i="4"/>
  <c r="S9" i="4"/>
  <c r="T9" i="4"/>
  <c r="U9" i="4"/>
  <c r="V9" i="4"/>
  <c r="W9" i="4"/>
  <c r="X9" i="4"/>
  <c r="Y9" i="4"/>
  <c r="Z9" i="4"/>
  <c r="AA9" i="4"/>
  <c r="AB9" i="4"/>
  <c r="AC9" i="4"/>
  <c r="E10" i="4"/>
  <c r="F10" i="4"/>
  <c r="G10" i="4"/>
  <c r="H10" i="4"/>
  <c r="I10" i="4"/>
  <c r="J10" i="4"/>
  <c r="K10" i="4"/>
  <c r="L10" i="4"/>
  <c r="M10" i="4"/>
  <c r="N10" i="4"/>
  <c r="O10" i="4"/>
  <c r="P10" i="4"/>
  <c r="Q10" i="4"/>
  <c r="R10" i="4"/>
  <c r="S10" i="4"/>
  <c r="T10" i="4"/>
  <c r="U10" i="4"/>
  <c r="V10" i="4"/>
  <c r="W10" i="4"/>
  <c r="X10" i="4"/>
  <c r="Y10" i="4"/>
  <c r="Z10" i="4"/>
  <c r="AA10" i="4"/>
  <c r="AB10" i="4"/>
  <c r="AC10" i="4"/>
  <c r="E12" i="4"/>
  <c r="F12" i="4"/>
  <c r="G12" i="4"/>
  <c r="H12" i="4"/>
  <c r="I12" i="4"/>
  <c r="J12" i="4"/>
  <c r="K12" i="4"/>
  <c r="L12" i="4"/>
  <c r="M12" i="4"/>
  <c r="N12" i="4"/>
  <c r="O12" i="4"/>
  <c r="P12" i="4"/>
  <c r="Q12" i="4"/>
  <c r="R12" i="4"/>
  <c r="S12" i="4"/>
  <c r="T12" i="4"/>
  <c r="U12" i="4"/>
  <c r="V12" i="4"/>
  <c r="W12" i="4"/>
  <c r="X12" i="4"/>
  <c r="Y12" i="4"/>
  <c r="Z12" i="4"/>
  <c r="AA12" i="4"/>
  <c r="AB12" i="4"/>
  <c r="AC12" i="4"/>
  <c r="E13" i="4"/>
  <c r="F13" i="4"/>
  <c r="G13" i="4"/>
  <c r="H13" i="4"/>
  <c r="I13" i="4"/>
  <c r="J13" i="4"/>
  <c r="K13" i="4"/>
  <c r="L13" i="4"/>
  <c r="M13" i="4"/>
  <c r="N13" i="4"/>
  <c r="O13" i="4"/>
  <c r="P13" i="4"/>
  <c r="Q13" i="4"/>
  <c r="R13" i="4"/>
  <c r="S13" i="4"/>
  <c r="T13" i="4"/>
  <c r="U13" i="4"/>
  <c r="V13" i="4"/>
  <c r="W13" i="4"/>
  <c r="X13" i="4"/>
  <c r="Y13" i="4"/>
  <c r="Z13" i="4"/>
  <c r="AA13" i="4"/>
  <c r="AB13" i="4"/>
  <c r="AC13" i="4"/>
  <c r="E14" i="4"/>
  <c r="F14" i="4"/>
  <c r="G14" i="4"/>
  <c r="H14" i="4"/>
  <c r="I14" i="4"/>
  <c r="J14" i="4"/>
  <c r="K14" i="4"/>
  <c r="L14" i="4"/>
  <c r="M14" i="4"/>
  <c r="N14" i="4"/>
  <c r="O14" i="4"/>
  <c r="P14" i="4"/>
  <c r="Q14" i="4"/>
  <c r="R14" i="4"/>
  <c r="S14" i="4"/>
  <c r="T14" i="4"/>
  <c r="U14" i="4"/>
  <c r="V14" i="4"/>
  <c r="W14" i="4"/>
  <c r="X14" i="4"/>
  <c r="Y14" i="4"/>
  <c r="Z14" i="4"/>
  <c r="AA14" i="4"/>
  <c r="AB14" i="4"/>
  <c r="AC14" i="4"/>
  <c r="E16" i="4"/>
  <c r="F16" i="4"/>
  <c r="G16" i="4"/>
  <c r="H16" i="4"/>
  <c r="I16" i="4"/>
  <c r="J16" i="4"/>
  <c r="K16" i="4"/>
  <c r="L16" i="4"/>
  <c r="M16" i="4"/>
  <c r="N16" i="4"/>
  <c r="O16" i="4"/>
  <c r="P16" i="4"/>
  <c r="Q16" i="4"/>
  <c r="R16" i="4"/>
  <c r="S16" i="4"/>
  <c r="T16" i="4"/>
  <c r="U16" i="4"/>
  <c r="V16" i="4"/>
  <c r="W16" i="4"/>
  <c r="X16" i="4"/>
  <c r="Y16" i="4"/>
  <c r="Z16" i="4"/>
  <c r="AA16" i="4"/>
  <c r="AB16" i="4"/>
  <c r="AC16" i="4"/>
  <c r="B18" i="4"/>
  <c r="C18" i="4"/>
  <c r="B19" i="4"/>
  <c r="C19" i="4"/>
  <c r="E19" i="4"/>
  <c r="F19" i="4"/>
  <c r="G19" i="4"/>
  <c r="H19" i="4"/>
  <c r="I19" i="4"/>
  <c r="J19" i="4"/>
  <c r="K19" i="4"/>
  <c r="L19" i="4"/>
  <c r="M19" i="4"/>
  <c r="N19" i="4"/>
  <c r="O19" i="4"/>
  <c r="P19" i="4"/>
  <c r="Q19" i="4"/>
  <c r="R19" i="4"/>
  <c r="S19" i="4"/>
  <c r="T19" i="4"/>
  <c r="U19" i="4"/>
  <c r="V19" i="4"/>
  <c r="W19" i="4"/>
  <c r="X19" i="4"/>
  <c r="Y19" i="4"/>
  <c r="Z19" i="4"/>
  <c r="AA19" i="4"/>
  <c r="AB19" i="4"/>
  <c r="AC19" i="4"/>
  <c r="B20" i="4"/>
  <c r="E20" i="4"/>
  <c r="F20" i="4"/>
  <c r="G20" i="4"/>
  <c r="H20" i="4"/>
  <c r="I20" i="4"/>
  <c r="J20" i="4"/>
  <c r="K20" i="4"/>
  <c r="L20" i="4"/>
  <c r="M20" i="4"/>
  <c r="N20" i="4"/>
  <c r="O20" i="4"/>
  <c r="P20" i="4"/>
  <c r="Q20" i="4"/>
  <c r="R20" i="4"/>
  <c r="S20" i="4"/>
  <c r="T20" i="4"/>
  <c r="U20" i="4"/>
  <c r="V20" i="4"/>
  <c r="W20" i="4"/>
  <c r="X20" i="4"/>
  <c r="Y20" i="4"/>
  <c r="Z20" i="4"/>
  <c r="AA20" i="4"/>
  <c r="AB20" i="4"/>
  <c r="AC20" i="4"/>
  <c r="B21" i="4"/>
  <c r="E21" i="4"/>
  <c r="F21" i="4"/>
  <c r="G21" i="4"/>
  <c r="H21" i="4"/>
  <c r="I21" i="4"/>
  <c r="J21" i="4"/>
  <c r="K21" i="4"/>
  <c r="L21" i="4"/>
  <c r="M21" i="4"/>
  <c r="N21" i="4"/>
  <c r="O21" i="4"/>
  <c r="P21" i="4"/>
  <c r="Q21" i="4"/>
  <c r="R21" i="4"/>
  <c r="S21" i="4"/>
  <c r="T21" i="4"/>
  <c r="U21" i="4"/>
  <c r="V21" i="4"/>
  <c r="W21" i="4"/>
  <c r="X21" i="4"/>
  <c r="Y21" i="4"/>
  <c r="Z21" i="4"/>
  <c r="AA21" i="4"/>
  <c r="AB21" i="4"/>
  <c r="AC21" i="4"/>
  <c r="B22" i="4"/>
  <c r="E26" i="4"/>
  <c r="F26" i="4"/>
  <c r="G26" i="4"/>
  <c r="H26" i="4"/>
  <c r="I26" i="4"/>
  <c r="J26" i="4"/>
  <c r="K26" i="4"/>
  <c r="L26" i="4"/>
  <c r="M26" i="4"/>
  <c r="N26" i="4"/>
  <c r="O26" i="4"/>
  <c r="P26" i="4"/>
  <c r="Q26" i="4"/>
  <c r="R26" i="4"/>
  <c r="S26" i="4"/>
  <c r="T26" i="4"/>
  <c r="U26" i="4"/>
  <c r="V26" i="4"/>
  <c r="W26" i="4"/>
  <c r="X26" i="4"/>
  <c r="Y26" i="4"/>
  <c r="Z26" i="4"/>
  <c r="AA26" i="4"/>
  <c r="AB26" i="4"/>
  <c r="AC26" i="4"/>
  <c r="E27" i="4"/>
  <c r="F27" i="4"/>
  <c r="G27" i="4"/>
  <c r="H27" i="4"/>
  <c r="I27" i="4"/>
  <c r="J27" i="4"/>
  <c r="K27" i="4"/>
  <c r="L27" i="4"/>
  <c r="M27" i="4"/>
  <c r="N27" i="4"/>
  <c r="O27" i="4"/>
  <c r="P27" i="4"/>
  <c r="Q27" i="4"/>
  <c r="R27" i="4"/>
  <c r="S27" i="4"/>
  <c r="T27" i="4"/>
  <c r="U27" i="4"/>
  <c r="V27" i="4"/>
  <c r="W27" i="4"/>
  <c r="X27" i="4"/>
  <c r="Y27" i="4"/>
  <c r="Z27" i="4"/>
  <c r="AA27" i="4"/>
  <c r="AB27" i="4"/>
  <c r="AC27" i="4"/>
  <c r="E28" i="4"/>
  <c r="F28" i="4"/>
  <c r="G28" i="4"/>
  <c r="H28" i="4"/>
  <c r="I28" i="4"/>
  <c r="J28" i="4"/>
  <c r="K28" i="4"/>
  <c r="L28" i="4"/>
  <c r="M28" i="4"/>
  <c r="N28" i="4"/>
  <c r="O28" i="4"/>
  <c r="P28" i="4"/>
  <c r="Q28" i="4"/>
  <c r="R28" i="4"/>
  <c r="S28" i="4"/>
  <c r="T28" i="4"/>
  <c r="U28" i="4"/>
  <c r="V28" i="4"/>
  <c r="W28" i="4"/>
  <c r="X28" i="4"/>
  <c r="Y28" i="4"/>
  <c r="Z28" i="4"/>
  <c r="AA28" i="4"/>
  <c r="AB28" i="4"/>
  <c r="AC28" i="4"/>
  <c r="E29" i="4"/>
  <c r="F29" i="4"/>
  <c r="G29" i="4"/>
  <c r="H29" i="4"/>
  <c r="I29" i="4"/>
  <c r="J29" i="4"/>
  <c r="K29" i="4"/>
  <c r="L29" i="4"/>
  <c r="M29" i="4"/>
  <c r="N29" i="4"/>
  <c r="O29" i="4"/>
  <c r="P29" i="4"/>
  <c r="Q29" i="4"/>
  <c r="R29" i="4"/>
  <c r="S29" i="4"/>
  <c r="T29" i="4"/>
  <c r="U29" i="4"/>
  <c r="V29" i="4"/>
  <c r="W29" i="4"/>
  <c r="X29" i="4"/>
  <c r="Y29" i="4"/>
  <c r="Z29" i="4"/>
  <c r="AA29" i="4"/>
  <c r="AB29" i="4"/>
  <c r="AC29" i="4"/>
  <c r="E30" i="4"/>
  <c r="F30" i="4"/>
  <c r="G30" i="4"/>
  <c r="H30" i="4"/>
  <c r="I30" i="4"/>
  <c r="J30" i="4"/>
  <c r="K30" i="4"/>
  <c r="L30" i="4"/>
  <c r="M30" i="4"/>
  <c r="N30" i="4"/>
  <c r="O30" i="4"/>
  <c r="P30" i="4"/>
  <c r="Q30" i="4"/>
  <c r="R30" i="4"/>
  <c r="S30" i="4"/>
  <c r="T30" i="4"/>
  <c r="U30" i="4"/>
  <c r="V30" i="4"/>
  <c r="W30" i="4"/>
  <c r="X30" i="4"/>
  <c r="Y30" i="4"/>
  <c r="Z30" i="4"/>
  <c r="AA30" i="4"/>
  <c r="AB30" i="4"/>
  <c r="AC30" i="4"/>
  <c r="E31" i="4"/>
  <c r="E34" i="4"/>
  <c r="F34" i="4"/>
  <c r="G34" i="4"/>
  <c r="H34" i="4"/>
  <c r="I34" i="4"/>
  <c r="J34" i="4"/>
  <c r="K34" i="4"/>
  <c r="L34" i="4"/>
  <c r="M34" i="4"/>
  <c r="N34" i="4"/>
  <c r="O34" i="4"/>
  <c r="P34" i="4"/>
  <c r="Q34" i="4"/>
  <c r="R34" i="4"/>
  <c r="S34" i="4"/>
  <c r="T34" i="4"/>
  <c r="U34" i="4"/>
  <c r="V34" i="4"/>
  <c r="W34" i="4"/>
  <c r="X34" i="4"/>
  <c r="Y34" i="4"/>
  <c r="Z34" i="4"/>
  <c r="AA34" i="4"/>
  <c r="AB34" i="4"/>
  <c r="AC34" i="4"/>
  <c r="E35" i="4"/>
  <c r="F35" i="4"/>
  <c r="G35" i="4"/>
  <c r="H35" i="4"/>
  <c r="I35" i="4"/>
  <c r="J35" i="4"/>
  <c r="K35" i="4"/>
  <c r="L35" i="4"/>
  <c r="M35" i="4"/>
  <c r="N35" i="4"/>
  <c r="O35" i="4"/>
  <c r="P35" i="4"/>
  <c r="Q35" i="4"/>
  <c r="R35" i="4"/>
  <c r="S35" i="4"/>
  <c r="T35" i="4"/>
  <c r="U35" i="4"/>
  <c r="V35" i="4"/>
  <c r="W35" i="4"/>
  <c r="X35" i="4"/>
  <c r="Y35" i="4"/>
  <c r="Z35" i="4"/>
  <c r="AA35" i="4"/>
  <c r="AB35" i="4"/>
  <c r="AC35" i="4"/>
  <c r="E36" i="4"/>
  <c r="F36" i="4"/>
  <c r="G36" i="4"/>
  <c r="H36" i="4"/>
  <c r="I36" i="4"/>
  <c r="J36" i="4"/>
  <c r="K36" i="4"/>
  <c r="L36" i="4"/>
  <c r="M36" i="4"/>
  <c r="N36" i="4"/>
  <c r="O36" i="4"/>
  <c r="P36" i="4"/>
  <c r="Q36" i="4"/>
  <c r="R36" i="4"/>
  <c r="S36" i="4"/>
  <c r="T36" i="4"/>
  <c r="U36" i="4"/>
  <c r="V36" i="4"/>
  <c r="W36" i="4"/>
  <c r="X36" i="4"/>
  <c r="Y36" i="4"/>
  <c r="Z36" i="4"/>
  <c r="AA36" i="4"/>
  <c r="AB36" i="4"/>
  <c r="AC36" i="4"/>
  <c r="E37" i="4"/>
  <c r="F37" i="4"/>
  <c r="G37" i="4"/>
  <c r="H37" i="4"/>
  <c r="I37" i="4"/>
  <c r="J37" i="4"/>
  <c r="K37" i="4"/>
  <c r="L37" i="4"/>
  <c r="M37" i="4"/>
  <c r="N37" i="4"/>
  <c r="O37" i="4"/>
  <c r="P37" i="4"/>
  <c r="Q37" i="4"/>
  <c r="R37" i="4"/>
  <c r="S37" i="4"/>
  <c r="T37" i="4"/>
  <c r="U37" i="4"/>
  <c r="V37" i="4"/>
  <c r="W37" i="4"/>
  <c r="X37" i="4"/>
  <c r="Y37" i="4"/>
  <c r="Z37" i="4"/>
  <c r="AA37" i="4"/>
  <c r="AB37" i="4"/>
  <c r="AC37" i="4"/>
  <c r="E38" i="4"/>
  <c r="F38" i="4"/>
  <c r="G38" i="4"/>
  <c r="H38" i="4"/>
  <c r="I38" i="4"/>
  <c r="J38" i="4"/>
  <c r="K38" i="4"/>
  <c r="L38" i="4"/>
  <c r="M38" i="4"/>
  <c r="N38" i="4"/>
  <c r="O38" i="4"/>
  <c r="P38" i="4"/>
  <c r="Q38" i="4"/>
  <c r="R38" i="4"/>
  <c r="S38" i="4"/>
  <c r="T38" i="4"/>
  <c r="U38" i="4"/>
  <c r="V38" i="4"/>
  <c r="W38" i="4"/>
  <c r="X38" i="4"/>
  <c r="Y38" i="4"/>
  <c r="Z38" i="4"/>
  <c r="AA38" i="4"/>
  <c r="AB38" i="4"/>
  <c r="AC38" i="4"/>
  <c r="E39" i="4"/>
  <c r="E42" i="4"/>
  <c r="F42" i="4"/>
  <c r="G42" i="4"/>
  <c r="H42" i="4"/>
  <c r="I42" i="4"/>
  <c r="J42" i="4"/>
  <c r="K42" i="4"/>
  <c r="L42" i="4"/>
  <c r="M42" i="4"/>
  <c r="N42" i="4"/>
  <c r="O42" i="4"/>
  <c r="P42" i="4"/>
  <c r="Q42" i="4"/>
  <c r="R42" i="4"/>
  <c r="S42" i="4"/>
  <c r="T42" i="4"/>
  <c r="U42" i="4"/>
  <c r="V42" i="4"/>
  <c r="W42" i="4"/>
  <c r="X42" i="4"/>
  <c r="Y42" i="4"/>
  <c r="Z42" i="4"/>
  <c r="AA42" i="4"/>
  <c r="AB42" i="4"/>
  <c r="AC42" i="4"/>
  <c r="E43" i="4"/>
  <c r="F43" i="4"/>
  <c r="G43" i="4"/>
  <c r="H43" i="4"/>
  <c r="I43" i="4"/>
  <c r="J43" i="4"/>
  <c r="K43" i="4"/>
  <c r="L43" i="4"/>
  <c r="M43" i="4"/>
  <c r="N43" i="4"/>
  <c r="O43" i="4"/>
  <c r="P43" i="4"/>
  <c r="Q43" i="4"/>
  <c r="R43" i="4"/>
  <c r="S43" i="4"/>
  <c r="T43" i="4"/>
  <c r="U43" i="4"/>
  <c r="V43" i="4"/>
  <c r="W43" i="4"/>
  <c r="X43" i="4"/>
  <c r="Y43" i="4"/>
  <c r="Z43" i="4"/>
  <c r="AA43" i="4"/>
  <c r="AB43" i="4"/>
  <c r="AC43" i="4"/>
  <c r="E44" i="4"/>
  <c r="F44" i="4"/>
  <c r="G44" i="4"/>
  <c r="H44" i="4"/>
  <c r="I44" i="4"/>
  <c r="J44" i="4"/>
  <c r="K44" i="4"/>
  <c r="L44" i="4"/>
  <c r="M44" i="4"/>
  <c r="N44" i="4"/>
  <c r="O44" i="4"/>
  <c r="P44" i="4"/>
  <c r="Q44" i="4"/>
  <c r="R44" i="4"/>
  <c r="S44" i="4"/>
  <c r="T44" i="4"/>
  <c r="U44" i="4"/>
  <c r="V44" i="4"/>
  <c r="W44" i="4"/>
  <c r="X44" i="4"/>
  <c r="Y44" i="4"/>
  <c r="Z44" i="4"/>
  <c r="AA44" i="4"/>
  <c r="AB44" i="4"/>
  <c r="AC44" i="4"/>
  <c r="E45" i="4"/>
  <c r="F45" i="4"/>
  <c r="G45" i="4"/>
  <c r="H45" i="4"/>
  <c r="I45" i="4"/>
  <c r="J45" i="4"/>
  <c r="K45" i="4"/>
  <c r="L45" i="4"/>
  <c r="M45" i="4"/>
  <c r="N45" i="4"/>
  <c r="O45" i="4"/>
  <c r="P45" i="4"/>
  <c r="Q45" i="4"/>
  <c r="R45" i="4"/>
  <c r="S45" i="4"/>
  <c r="T45" i="4"/>
  <c r="U45" i="4"/>
  <c r="V45" i="4"/>
  <c r="W45" i="4"/>
  <c r="X45" i="4"/>
  <c r="Y45" i="4"/>
  <c r="Z45" i="4"/>
  <c r="AA45" i="4"/>
  <c r="AB45" i="4"/>
  <c r="AC45" i="4"/>
  <c r="E46" i="4"/>
  <c r="F46" i="4"/>
  <c r="G46" i="4"/>
  <c r="H46" i="4"/>
  <c r="I46" i="4"/>
  <c r="J46" i="4"/>
  <c r="K46" i="4"/>
  <c r="L46" i="4"/>
  <c r="M46" i="4"/>
  <c r="N46" i="4"/>
  <c r="O46" i="4"/>
  <c r="P46" i="4"/>
  <c r="Q46" i="4"/>
  <c r="R46" i="4"/>
  <c r="S46" i="4"/>
  <c r="T46" i="4"/>
  <c r="U46" i="4"/>
  <c r="V46" i="4"/>
  <c r="W46" i="4"/>
  <c r="X46" i="4"/>
  <c r="Y46" i="4"/>
  <c r="Z46" i="4"/>
  <c r="AA46" i="4"/>
  <c r="AB46" i="4"/>
  <c r="AC46" i="4"/>
  <c r="E47" i="4"/>
  <c r="E51" i="4"/>
  <c r="F51" i="4"/>
  <c r="G51" i="4"/>
  <c r="H51" i="4"/>
  <c r="I51" i="4"/>
  <c r="J51" i="4"/>
  <c r="K51" i="4"/>
  <c r="L51" i="4"/>
  <c r="M51" i="4"/>
  <c r="N51" i="4"/>
  <c r="O51" i="4"/>
  <c r="P51" i="4"/>
  <c r="Q51" i="4"/>
  <c r="R51" i="4"/>
  <c r="S51" i="4"/>
  <c r="T51" i="4"/>
  <c r="U51" i="4"/>
  <c r="V51" i="4"/>
  <c r="W51" i="4"/>
  <c r="X51" i="4"/>
  <c r="Y51" i="4"/>
  <c r="Z51" i="4"/>
  <c r="AA51" i="4"/>
  <c r="AB51" i="4"/>
  <c r="AC51" i="4"/>
  <c r="E52" i="4"/>
  <c r="F52" i="4"/>
  <c r="G52" i="4"/>
  <c r="H52" i="4"/>
  <c r="I52" i="4"/>
  <c r="J52" i="4"/>
  <c r="K52" i="4"/>
  <c r="L52" i="4"/>
  <c r="M52" i="4"/>
  <c r="N52" i="4"/>
  <c r="O52" i="4"/>
  <c r="P52" i="4"/>
  <c r="Q52" i="4"/>
  <c r="R52" i="4"/>
  <c r="S52" i="4"/>
  <c r="T52" i="4"/>
  <c r="U52" i="4"/>
  <c r="V52" i="4"/>
  <c r="W52" i="4"/>
  <c r="X52" i="4"/>
  <c r="Y52" i="4"/>
  <c r="Z52" i="4"/>
  <c r="AA52" i="4"/>
  <c r="AB52" i="4"/>
  <c r="AC52" i="4"/>
  <c r="E53" i="4"/>
  <c r="F53" i="4"/>
  <c r="G53" i="4"/>
  <c r="H53" i="4"/>
  <c r="I53" i="4"/>
  <c r="J53" i="4"/>
  <c r="K53" i="4"/>
  <c r="L53" i="4"/>
  <c r="M53" i="4"/>
  <c r="N53" i="4"/>
  <c r="O53" i="4"/>
  <c r="P53" i="4"/>
  <c r="Q53" i="4"/>
  <c r="R53" i="4"/>
  <c r="S53" i="4"/>
  <c r="T53" i="4"/>
  <c r="U53" i="4"/>
  <c r="V53" i="4"/>
  <c r="W53" i="4"/>
  <c r="X53" i="4"/>
  <c r="Y53" i="4"/>
  <c r="Z53" i="4"/>
  <c r="AA53" i="4"/>
  <c r="AB53" i="4"/>
  <c r="AC53" i="4"/>
  <c r="E54" i="4"/>
  <c r="F54" i="4"/>
  <c r="G54" i="4"/>
  <c r="H54" i="4"/>
  <c r="I54" i="4"/>
  <c r="J54" i="4"/>
  <c r="K54" i="4"/>
  <c r="L54" i="4"/>
  <c r="M54" i="4"/>
  <c r="N54" i="4"/>
  <c r="O54" i="4"/>
  <c r="P54" i="4"/>
  <c r="Q54" i="4"/>
  <c r="R54" i="4"/>
  <c r="S54" i="4"/>
  <c r="T54" i="4"/>
  <c r="U54" i="4"/>
  <c r="V54" i="4"/>
  <c r="W54" i="4"/>
  <c r="X54" i="4"/>
  <c r="Y54" i="4"/>
  <c r="Z54" i="4"/>
  <c r="AA54" i="4"/>
  <c r="AB54" i="4"/>
  <c r="AC54" i="4"/>
  <c r="E55" i="4"/>
  <c r="F55" i="4"/>
  <c r="G55" i="4"/>
  <c r="H55" i="4"/>
  <c r="I55" i="4"/>
  <c r="J55" i="4"/>
  <c r="K55" i="4"/>
  <c r="L55" i="4"/>
  <c r="M55" i="4"/>
  <c r="N55" i="4"/>
  <c r="O55" i="4"/>
  <c r="P55" i="4"/>
  <c r="Q55" i="4"/>
  <c r="R55" i="4"/>
  <c r="S55" i="4"/>
  <c r="T55" i="4"/>
  <c r="U55" i="4"/>
  <c r="V55" i="4"/>
  <c r="W55" i="4"/>
  <c r="X55" i="4"/>
  <c r="Y55" i="4"/>
  <c r="Z55" i="4"/>
  <c r="AA55" i="4"/>
  <c r="AB55" i="4"/>
  <c r="AC55" i="4"/>
  <c r="E56" i="4"/>
  <c r="E58" i="4"/>
  <c r="F58" i="4"/>
  <c r="G58" i="4"/>
  <c r="H58" i="4"/>
  <c r="I58" i="4"/>
  <c r="J58" i="4"/>
  <c r="K58" i="4"/>
  <c r="L58" i="4"/>
  <c r="M58" i="4"/>
  <c r="N58" i="4"/>
  <c r="O58" i="4"/>
  <c r="P58" i="4"/>
  <c r="Q58" i="4"/>
  <c r="R58" i="4"/>
  <c r="S58" i="4"/>
  <c r="T58" i="4"/>
  <c r="U58" i="4"/>
  <c r="V58" i="4"/>
  <c r="W58" i="4"/>
  <c r="X58" i="4"/>
  <c r="Y58" i="4"/>
  <c r="Z58" i="4"/>
  <c r="AA58" i="4"/>
  <c r="AB58" i="4"/>
  <c r="AC58" i="4"/>
  <c r="B63" i="4"/>
  <c r="B64" i="4"/>
  <c r="B65" i="4"/>
  <c r="B66" i="4"/>
  <c r="E66" i="4"/>
  <c r="F66" i="4"/>
  <c r="G66" i="4"/>
  <c r="H66" i="4"/>
  <c r="I66" i="4"/>
  <c r="J66" i="4"/>
  <c r="K66" i="4"/>
  <c r="L66" i="4"/>
  <c r="M66" i="4"/>
  <c r="N66" i="4"/>
  <c r="O66" i="4"/>
  <c r="P66" i="4"/>
  <c r="Q66" i="4"/>
  <c r="R66" i="4"/>
  <c r="S66" i="4"/>
  <c r="T66" i="4"/>
  <c r="U66" i="4"/>
  <c r="V66" i="4"/>
  <c r="W66" i="4"/>
  <c r="X66" i="4"/>
  <c r="Y66" i="4"/>
  <c r="Z66" i="4"/>
  <c r="AA66" i="4"/>
  <c r="AB66" i="4"/>
  <c r="AC66" i="4"/>
  <c r="E67" i="4"/>
  <c r="F67" i="4"/>
  <c r="G67" i="4"/>
  <c r="H67" i="4"/>
  <c r="I67" i="4"/>
  <c r="J67" i="4"/>
  <c r="K67" i="4"/>
  <c r="L67" i="4"/>
  <c r="M67" i="4"/>
  <c r="N67" i="4"/>
  <c r="O67" i="4"/>
  <c r="P67" i="4"/>
  <c r="Q67" i="4"/>
  <c r="R67" i="4"/>
  <c r="S67" i="4"/>
  <c r="T67" i="4"/>
  <c r="U67" i="4"/>
  <c r="V67" i="4"/>
  <c r="W67" i="4"/>
  <c r="X67" i="4"/>
  <c r="Y67" i="4"/>
  <c r="Z67" i="4"/>
  <c r="AA67" i="4"/>
  <c r="AB67" i="4"/>
  <c r="AC67" i="4"/>
  <c r="C69" i="4"/>
  <c r="E69" i="4"/>
  <c r="F69" i="4"/>
  <c r="G69" i="4"/>
  <c r="H69" i="4"/>
  <c r="I69" i="4"/>
  <c r="J69" i="4"/>
  <c r="K69" i="4"/>
  <c r="L69" i="4"/>
  <c r="M69" i="4"/>
  <c r="N69" i="4"/>
  <c r="O69" i="4"/>
  <c r="P69" i="4"/>
  <c r="Q69" i="4"/>
  <c r="R69" i="4"/>
  <c r="S69" i="4"/>
  <c r="T69" i="4"/>
  <c r="U69" i="4"/>
  <c r="V69" i="4"/>
  <c r="W69" i="4"/>
  <c r="X69" i="4"/>
  <c r="Y69" i="4"/>
  <c r="Z69" i="4"/>
  <c r="AA69" i="4"/>
  <c r="AB69" i="4"/>
  <c r="AC69" i="4"/>
  <c r="E70" i="4"/>
  <c r="F70" i="4"/>
  <c r="G70" i="4"/>
  <c r="H70" i="4"/>
  <c r="I70" i="4"/>
  <c r="J70" i="4"/>
  <c r="K70" i="4"/>
  <c r="L70" i="4"/>
  <c r="M70" i="4"/>
  <c r="N70" i="4"/>
  <c r="O70" i="4"/>
  <c r="P70" i="4"/>
  <c r="Q70" i="4"/>
  <c r="R70" i="4"/>
  <c r="S70" i="4"/>
  <c r="T70" i="4"/>
  <c r="U70" i="4"/>
  <c r="V70" i="4"/>
  <c r="W70" i="4"/>
  <c r="X70" i="4"/>
  <c r="Y70" i="4"/>
  <c r="Z70" i="4"/>
  <c r="AA70" i="4"/>
  <c r="AB70" i="4"/>
  <c r="AC70" i="4"/>
  <c r="E71" i="4"/>
  <c r="F71" i="4"/>
  <c r="G71" i="4"/>
  <c r="H71" i="4"/>
  <c r="I71" i="4"/>
  <c r="J71" i="4"/>
  <c r="K71" i="4"/>
  <c r="L71" i="4"/>
  <c r="M71" i="4"/>
  <c r="N71" i="4"/>
  <c r="O71" i="4"/>
  <c r="P71" i="4"/>
  <c r="Q71" i="4"/>
  <c r="R71" i="4"/>
  <c r="S71" i="4"/>
  <c r="T71" i="4"/>
  <c r="U71" i="4"/>
  <c r="V71" i="4"/>
  <c r="W71" i="4"/>
  <c r="X71" i="4"/>
  <c r="Y71" i="4"/>
  <c r="Z71" i="4"/>
  <c r="AA71" i="4"/>
  <c r="AB71" i="4"/>
  <c r="AC71" i="4"/>
  <c r="E72" i="4"/>
  <c r="F72" i="4"/>
  <c r="G72" i="4"/>
  <c r="H72" i="4"/>
  <c r="I72" i="4"/>
  <c r="J72" i="4"/>
  <c r="K72" i="4"/>
  <c r="L72" i="4"/>
  <c r="M72" i="4"/>
  <c r="N72" i="4"/>
  <c r="O72" i="4"/>
  <c r="P72" i="4"/>
  <c r="Q72" i="4"/>
  <c r="R72" i="4"/>
  <c r="S72" i="4"/>
  <c r="T72" i="4"/>
  <c r="U72" i="4"/>
  <c r="V72" i="4"/>
  <c r="W72" i="4"/>
  <c r="X72" i="4"/>
  <c r="Y72" i="4"/>
  <c r="Z72" i="4"/>
  <c r="AA72" i="4"/>
  <c r="AB72" i="4"/>
  <c r="AC72" i="4"/>
  <c r="E73" i="4"/>
  <c r="F73" i="4"/>
  <c r="G73" i="4"/>
  <c r="H73" i="4"/>
  <c r="I73" i="4"/>
  <c r="J73" i="4"/>
  <c r="K73" i="4"/>
  <c r="L73" i="4"/>
  <c r="M73" i="4"/>
  <c r="N73" i="4"/>
  <c r="O73" i="4"/>
  <c r="P73" i="4"/>
  <c r="Q73" i="4"/>
  <c r="R73" i="4"/>
  <c r="S73" i="4"/>
  <c r="T73" i="4"/>
  <c r="U73" i="4"/>
  <c r="V73" i="4"/>
  <c r="W73" i="4"/>
  <c r="X73" i="4"/>
  <c r="Y73" i="4"/>
  <c r="Z73" i="4"/>
  <c r="AA73" i="4"/>
  <c r="AB73" i="4"/>
  <c r="AC73" i="4"/>
  <c r="C74" i="4"/>
  <c r="D75" i="4"/>
  <c r="B78" i="4"/>
  <c r="B79" i="4"/>
  <c r="B80" i="4"/>
  <c r="B81" i="4"/>
  <c r="E81" i="4"/>
  <c r="F81" i="4"/>
  <c r="G81" i="4"/>
  <c r="H81" i="4"/>
  <c r="I81" i="4"/>
  <c r="J81" i="4"/>
  <c r="K81" i="4"/>
  <c r="L81" i="4"/>
  <c r="M81" i="4"/>
  <c r="N81" i="4"/>
  <c r="O81" i="4"/>
  <c r="P81" i="4"/>
  <c r="Q81" i="4"/>
  <c r="R81" i="4"/>
  <c r="S81" i="4"/>
  <c r="T81" i="4"/>
  <c r="U81" i="4"/>
  <c r="V81" i="4"/>
  <c r="W81" i="4"/>
  <c r="X81" i="4"/>
  <c r="Y81" i="4"/>
  <c r="Z81" i="4"/>
  <c r="AA81" i="4"/>
  <c r="AB81" i="4"/>
  <c r="AC81" i="4"/>
  <c r="E82" i="4"/>
  <c r="F82" i="4"/>
  <c r="G82" i="4"/>
  <c r="H82" i="4"/>
  <c r="I82" i="4"/>
  <c r="J82" i="4"/>
  <c r="K82" i="4"/>
  <c r="L82" i="4"/>
  <c r="M82" i="4"/>
  <c r="N82" i="4"/>
  <c r="O82" i="4"/>
  <c r="P82" i="4"/>
  <c r="Q82" i="4"/>
  <c r="R82" i="4"/>
  <c r="S82" i="4"/>
  <c r="T82" i="4"/>
  <c r="U82" i="4"/>
  <c r="V82" i="4"/>
  <c r="W82" i="4"/>
  <c r="X82" i="4"/>
  <c r="Y82" i="4"/>
  <c r="Z82" i="4"/>
  <c r="AA82" i="4"/>
  <c r="AB82" i="4"/>
  <c r="AC82" i="4"/>
  <c r="C84" i="4"/>
  <c r="E84" i="4"/>
  <c r="F84" i="4"/>
  <c r="G84" i="4"/>
  <c r="H84" i="4"/>
  <c r="I84" i="4"/>
  <c r="J84" i="4"/>
  <c r="K84" i="4"/>
  <c r="L84" i="4"/>
  <c r="M84" i="4"/>
  <c r="N84" i="4"/>
  <c r="O84" i="4"/>
  <c r="P84" i="4"/>
  <c r="Q84" i="4"/>
  <c r="R84" i="4"/>
  <c r="S84" i="4"/>
  <c r="T84" i="4"/>
  <c r="U84" i="4"/>
  <c r="V84" i="4"/>
  <c r="W84" i="4"/>
  <c r="X84" i="4"/>
  <c r="Y84" i="4"/>
  <c r="Z84" i="4"/>
  <c r="AA84" i="4"/>
  <c r="AB84" i="4"/>
  <c r="AC84" i="4"/>
  <c r="E85" i="4"/>
  <c r="F85" i="4"/>
  <c r="G85" i="4"/>
  <c r="H85" i="4"/>
  <c r="I85" i="4"/>
  <c r="J85" i="4"/>
  <c r="K85" i="4"/>
  <c r="L85" i="4"/>
  <c r="M85" i="4"/>
  <c r="N85" i="4"/>
  <c r="O85" i="4"/>
  <c r="P85" i="4"/>
  <c r="Q85" i="4"/>
  <c r="R85" i="4"/>
  <c r="S85" i="4"/>
  <c r="T85" i="4"/>
  <c r="U85" i="4"/>
  <c r="V85" i="4"/>
  <c r="W85" i="4"/>
  <c r="X85" i="4"/>
  <c r="Y85" i="4"/>
  <c r="Z85" i="4"/>
  <c r="AA85" i="4"/>
  <c r="AB85" i="4"/>
  <c r="AC85" i="4"/>
  <c r="E86" i="4"/>
  <c r="F86" i="4"/>
  <c r="G86" i="4"/>
  <c r="H86" i="4"/>
  <c r="I86" i="4"/>
  <c r="J86" i="4"/>
  <c r="K86" i="4"/>
  <c r="L86" i="4"/>
  <c r="M86" i="4"/>
  <c r="N86" i="4"/>
  <c r="O86" i="4"/>
  <c r="P86" i="4"/>
  <c r="Q86" i="4"/>
  <c r="R86" i="4"/>
  <c r="S86" i="4"/>
  <c r="T86" i="4"/>
  <c r="U86" i="4"/>
  <c r="V86" i="4"/>
  <c r="W86" i="4"/>
  <c r="X86" i="4"/>
  <c r="Y86" i="4"/>
  <c r="Z86" i="4"/>
  <c r="AA86" i="4"/>
  <c r="AB86" i="4"/>
  <c r="AC86" i="4"/>
  <c r="E87" i="4"/>
  <c r="F87" i="4"/>
  <c r="G87" i="4"/>
  <c r="H87" i="4"/>
  <c r="I87" i="4"/>
  <c r="J87" i="4"/>
  <c r="K87" i="4"/>
  <c r="L87" i="4"/>
  <c r="M87" i="4"/>
  <c r="N87" i="4"/>
  <c r="O87" i="4"/>
  <c r="P87" i="4"/>
  <c r="Q87" i="4"/>
  <c r="R87" i="4"/>
  <c r="S87" i="4"/>
  <c r="T87" i="4"/>
  <c r="U87" i="4"/>
  <c r="V87" i="4"/>
  <c r="W87" i="4"/>
  <c r="X87" i="4"/>
  <c r="Y87" i="4"/>
  <c r="Z87" i="4"/>
  <c r="AA87" i="4"/>
  <c r="AB87" i="4"/>
  <c r="AC87" i="4"/>
  <c r="E88" i="4"/>
  <c r="F88" i="4"/>
  <c r="G88" i="4"/>
  <c r="H88" i="4"/>
  <c r="I88" i="4"/>
  <c r="J88" i="4"/>
  <c r="K88" i="4"/>
  <c r="L88" i="4"/>
  <c r="M88" i="4"/>
  <c r="N88" i="4"/>
  <c r="O88" i="4"/>
  <c r="P88" i="4"/>
  <c r="Q88" i="4"/>
  <c r="R88" i="4"/>
  <c r="S88" i="4"/>
  <c r="T88" i="4"/>
  <c r="U88" i="4"/>
  <c r="V88" i="4"/>
  <c r="W88" i="4"/>
  <c r="X88" i="4"/>
  <c r="Y88" i="4"/>
  <c r="Z88" i="4"/>
  <c r="AA88" i="4"/>
  <c r="AB88" i="4"/>
  <c r="AC88" i="4"/>
  <c r="C89" i="4"/>
  <c r="D90" i="4"/>
  <c r="B93" i="4"/>
  <c r="B94" i="4"/>
  <c r="B95" i="4"/>
  <c r="B96" i="4"/>
  <c r="E96" i="4"/>
  <c r="F96" i="4"/>
  <c r="G96" i="4"/>
  <c r="H96" i="4"/>
  <c r="I96" i="4"/>
  <c r="J96" i="4"/>
  <c r="K96" i="4"/>
  <c r="L96" i="4"/>
  <c r="M96" i="4"/>
  <c r="N96" i="4"/>
  <c r="O96" i="4"/>
  <c r="P96" i="4"/>
  <c r="Q96" i="4"/>
  <c r="R96" i="4"/>
  <c r="S96" i="4"/>
  <c r="T96" i="4"/>
  <c r="U96" i="4"/>
  <c r="V96" i="4"/>
  <c r="W96" i="4"/>
  <c r="X96" i="4"/>
  <c r="Y96" i="4"/>
  <c r="Z96" i="4"/>
  <c r="AA96" i="4"/>
  <c r="AB96" i="4"/>
  <c r="AC96" i="4"/>
  <c r="E97" i="4"/>
  <c r="F97" i="4"/>
  <c r="G97" i="4"/>
  <c r="H97" i="4"/>
  <c r="I97" i="4"/>
  <c r="J97" i="4"/>
  <c r="K97" i="4"/>
  <c r="L97" i="4"/>
  <c r="M97" i="4"/>
  <c r="N97" i="4"/>
  <c r="O97" i="4"/>
  <c r="P97" i="4"/>
  <c r="Q97" i="4"/>
  <c r="R97" i="4"/>
  <c r="S97" i="4"/>
  <c r="T97" i="4"/>
  <c r="U97" i="4"/>
  <c r="V97" i="4"/>
  <c r="W97" i="4"/>
  <c r="X97" i="4"/>
  <c r="Y97" i="4"/>
  <c r="Z97" i="4"/>
  <c r="AA97" i="4"/>
  <c r="AB97" i="4"/>
  <c r="AC97" i="4"/>
  <c r="C99" i="4"/>
  <c r="E99" i="4"/>
  <c r="F99" i="4"/>
  <c r="G99" i="4"/>
  <c r="H99" i="4"/>
  <c r="I99" i="4"/>
  <c r="J99" i="4"/>
  <c r="K99" i="4"/>
  <c r="L99" i="4"/>
  <c r="M99" i="4"/>
  <c r="N99" i="4"/>
  <c r="O99" i="4"/>
  <c r="P99" i="4"/>
  <c r="Q99" i="4"/>
  <c r="R99" i="4"/>
  <c r="S99" i="4"/>
  <c r="T99" i="4"/>
  <c r="U99" i="4"/>
  <c r="V99" i="4"/>
  <c r="W99" i="4"/>
  <c r="X99" i="4"/>
  <c r="Y99" i="4"/>
  <c r="Z99" i="4"/>
  <c r="AA99" i="4"/>
  <c r="AB99" i="4"/>
  <c r="AC99" i="4"/>
  <c r="E100" i="4"/>
  <c r="F100" i="4"/>
  <c r="G100" i="4"/>
  <c r="H100" i="4"/>
  <c r="I100" i="4"/>
  <c r="J100" i="4"/>
  <c r="K100" i="4"/>
  <c r="L100" i="4"/>
  <c r="M100" i="4"/>
  <c r="N100" i="4"/>
  <c r="O100" i="4"/>
  <c r="P100" i="4"/>
  <c r="Q100" i="4"/>
  <c r="R100" i="4"/>
  <c r="S100" i="4"/>
  <c r="T100" i="4"/>
  <c r="U100" i="4"/>
  <c r="V100" i="4"/>
  <c r="W100" i="4"/>
  <c r="X100" i="4"/>
  <c r="Y100" i="4"/>
  <c r="Z100" i="4"/>
  <c r="AA100" i="4"/>
  <c r="AB100" i="4"/>
  <c r="AC100" i="4"/>
  <c r="E101" i="4"/>
  <c r="F101" i="4"/>
  <c r="G101" i="4"/>
  <c r="H101" i="4"/>
  <c r="I101" i="4"/>
  <c r="J101" i="4"/>
  <c r="K101" i="4"/>
  <c r="L101" i="4"/>
  <c r="M101" i="4"/>
  <c r="N101" i="4"/>
  <c r="O101" i="4"/>
  <c r="P101" i="4"/>
  <c r="Q101" i="4"/>
  <c r="R101" i="4"/>
  <c r="S101" i="4"/>
  <c r="T101" i="4"/>
  <c r="U101" i="4"/>
  <c r="V101" i="4"/>
  <c r="W101" i="4"/>
  <c r="X101" i="4"/>
  <c r="Y101" i="4"/>
  <c r="Z101" i="4"/>
  <c r="AA101" i="4"/>
  <c r="AB101" i="4"/>
  <c r="AC101" i="4"/>
  <c r="E102" i="4"/>
  <c r="F102" i="4"/>
  <c r="G102" i="4"/>
  <c r="H102" i="4"/>
  <c r="I102" i="4"/>
  <c r="J102" i="4"/>
  <c r="K102" i="4"/>
  <c r="L102" i="4"/>
  <c r="M102" i="4"/>
  <c r="N102" i="4"/>
  <c r="O102" i="4"/>
  <c r="P102" i="4"/>
  <c r="Q102" i="4"/>
  <c r="R102" i="4"/>
  <c r="S102" i="4"/>
  <c r="T102" i="4"/>
  <c r="U102" i="4"/>
  <c r="V102" i="4"/>
  <c r="W102" i="4"/>
  <c r="X102" i="4"/>
  <c r="Y102" i="4"/>
  <c r="Z102" i="4"/>
  <c r="AA102" i="4"/>
  <c r="AB102" i="4"/>
  <c r="AC102" i="4"/>
  <c r="E103" i="4"/>
  <c r="F103" i="4"/>
  <c r="G103" i="4"/>
  <c r="H103" i="4"/>
  <c r="I103" i="4"/>
  <c r="J103" i="4"/>
  <c r="K103" i="4"/>
  <c r="L103" i="4"/>
  <c r="M103" i="4"/>
  <c r="N103" i="4"/>
  <c r="O103" i="4"/>
  <c r="P103" i="4"/>
  <c r="Q103" i="4"/>
  <c r="R103" i="4"/>
  <c r="S103" i="4"/>
  <c r="T103" i="4"/>
  <c r="U103" i="4"/>
  <c r="V103" i="4"/>
  <c r="W103" i="4"/>
  <c r="X103" i="4"/>
  <c r="Y103" i="4"/>
  <c r="Z103" i="4"/>
  <c r="AA103" i="4"/>
  <c r="AB103" i="4"/>
  <c r="AC103" i="4"/>
  <c r="C104" i="4"/>
  <c r="D105" i="4"/>
  <c r="A1"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D7" i="9"/>
  <c r="E7" i="9"/>
  <c r="F7" i="9"/>
  <c r="G7" i="9"/>
  <c r="H7" i="9"/>
  <c r="I7" i="9"/>
  <c r="J7" i="9"/>
  <c r="K7" i="9"/>
  <c r="L7" i="9"/>
  <c r="M7" i="9"/>
  <c r="N7" i="9"/>
  <c r="O7" i="9"/>
  <c r="P7" i="9"/>
  <c r="Q7" i="9"/>
  <c r="R7" i="9"/>
  <c r="S7" i="9"/>
  <c r="T7" i="9"/>
  <c r="U7" i="9"/>
  <c r="V7" i="9"/>
  <c r="W7" i="9"/>
  <c r="X7" i="9"/>
  <c r="Y7" i="9"/>
  <c r="Z7" i="9"/>
  <c r="AA7" i="9"/>
  <c r="AB7" i="9"/>
  <c r="D8" i="9"/>
  <c r="E8" i="9"/>
  <c r="F8" i="9"/>
  <c r="G8" i="9"/>
  <c r="H8" i="9"/>
  <c r="I8" i="9"/>
  <c r="J8" i="9"/>
  <c r="K8" i="9"/>
  <c r="L8" i="9"/>
  <c r="M8" i="9"/>
  <c r="N8" i="9"/>
  <c r="O8" i="9"/>
  <c r="P8" i="9"/>
  <c r="Q8" i="9"/>
  <c r="R8" i="9"/>
  <c r="S8" i="9"/>
  <c r="T8" i="9"/>
  <c r="U8" i="9"/>
  <c r="V8" i="9"/>
  <c r="W8" i="9"/>
  <c r="X8" i="9"/>
  <c r="Y8" i="9"/>
  <c r="Z8" i="9"/>
  <c r="AA8" i="9"/>
  <c r="AB8" i="9"/>
  <c r="B9" i="9"/>
  <c r="D9" i="9"/>
  <c r="E9" i="9"/>
  <c r="F9" i="9"/>
  <c r="G9" i="9"/>
  <c r="H9" i="9"/>
  <c r="I9" i="9"/>
  <c r="J9" i="9"/>
  <c r="K9" i="9"/>
  <c r="L9" i="9"/>
  <c r="M9" i="9"/>
  <c r="N9" i="9"/>
  <c r="O9" i="9"/>
  <c r="P9" i="9"/>
  <c r="Q9" i="9"/>
  <c r="R9" i="9"/>
  <c r="S9" i="9"/>
  <c r="T9" i="9"/>
  <c r="U9" i="9"/>
  <c r="V9" i="9"/>
  <c r="W9" i="9"/>
  <c r="X9" i="9"/>
  <c r="Y9" i="9"/>
  <c r="Z9" i="9"/>
  <c r="AA9" i="9"/>
  <c r="AB9" i="9"/>
  <c r="B11" i="9"/>
  <c r="D11" i="9"/>
  <c r="E11" i="9"/>
  <c r="F11" i="9"/>
  <c r="G11" i="9"/>
  <c r="H11" i="9"/>
  <c r="I11" i="9"/>
  <c r="J11" i="9"/>
  <c r="K11" i="9"/>
  <c r="L11" i="9"/>
  <c r="M11" i="9"/>
  <c r="N11" i="9"/>
  <c r="O11" i="9"/>
  <c r="P11" i="9"/>
  <c r="Q11" i="9"/>
  <c r="R11" i="9"/>
  <c r="S11" i="9"/>
  <c r="T11" i="9"/>
  <c r="U11" i="9"/>
  <c r="V11" i="9"/>
  <c r="W11" i="9"/>
  <c r="X11" i="9"/>
  <c r="Y11" i="9"/>
  <c r="Z11" i="9"/>
  <c r="AA11" i="9"/>
  <c r="AB11" i="9"/>
  <c r="B12" i="9"/>
  <c r="D12" i="9"/>
  <c r="E12" i="9"/>
  <c r="F12" i="9"/>
  <c r="G12" i="9"/>
  <c r="H12" i="9"/>
  <c r="I12" i="9"/>
  <c r="J12" i="9"/>
  <c r="K12" i="9"/>
  <c r="L12" i="9"/>
  <c r="M12" i="9"/>
  <c r="N12" i="9"/>
  <c r="O12" i="9"/>
  <c r="P12" i="9"/>
  <c r="Q12" i="9"/>
  <c r="R12" i="9"/>
  <c r="S12" i="9"/>
  <c r="T12" i="9"/>
  <c r="U12" i="9"/>
  <c r="V12" i="9"/>
  <c r="W12" i="9"/>
  <c r="X12" i="9"/>
  <c r="Y12" i="9"/>
  <c r="Z12" i="9"/>
  <c r="AA12" i="9"/>
  <c r="AB12" i="9"/>
  <c r="B13" i="9"/>
  <c r="D13" i="9"/>
  <c r="E13" i="9"/>
  <c r="F13" i="9"/>
  <c r="G13" i="9"/>
  <c r="H13" i="9"/>
  <c r="I13" i="9"/>
  <c r="J13" i="9"/>
  <c r="K13" i="9"/>
  <c r="L13" i="9"/>
  <c r="M13" i="9"/>
  <c r="N13" i="9"/>
  <c r="O13" i="9"/>
  <c r="P13" i="9"/>
  <c r="Q13" i="9"/>
  <c r="R13" i="9"/>
  <c r="S13" i="9"/>
  <c r="T13" i="9"/>
  <c r="U13" i="9"/>
  <c r="V13" i="9"/>
  <c r="W13" i="9"/>
  <c r="X13" i="9"/>
  <c r="Y13" i="9"/>
  <c r="Z13" i="9"/>
  <c r="AA13" i="9"/>
  <c r="AB13" i="9"/>
  <c r="D14" i="9"/>
  <c r="B15" i="9"/>
  <c r="D15" i="9"/>
  <c r="E15" i="9"/>
  <c r="F15" i="9"/>
  <c r="G15" i="9"/>
  <c r="H15" i="9"/>
  <c r="I15" i="9"/>
  <c r="J15" i="9"/>
  <c r="K15" i="9"/>
  <c r="L15" i="9"/>
  <c r="M15" i="9"/>
  <c r="N15" i="9"/>
  <c r="O15" i="9"/>
  <c r="P15" i="9"/>
  <c r="Q15" i="9"/>
  <c r="R15" i="9"/>
  <c r="S15" i="9"/>
  <c r="T15" i="9"/>
  <c r="U15" i="9"/>
  <c r="V15" i="9"/>
  <c r="W15" i="9"/>
  <c r="X15" i="9"/>
  <c r="Y15" i="9"/>
  <c r="Z15" i="9"/>
  <c r="AA15" i="9"/>
  <c r="AB15" i="9"/>
  <c r="B19" i="9"/>
  <c r="D19" i="9"/>
  <c r="E19" i="9"/>
  <c r="F19" i="9"/>
  <c r="G19" i="9"/>
  <c r="H19" i="9"/>
  <c r="I19" i="9"/>
  <c r="J19" i="9"/>
  <c r="K19" i="9"/>
  <c r="L19" i="9"/>
  <c r="M19" i="9"/>
  <c r="N19" i="9"/>
  <c r="O19" i="9"/>
  <c r="P19" i="9"/>
  <c r="Q19" i="9"/>
  <c r="R19" i="9"/>
  <c r="S19" i="9"/>
  <c r="T19" i="9"/>
  <c r="U19" i="9"/>
  <c r="V19" i="9"/>
  <c r="W19" i="9"/>
  <c r="X19" i="9"/>
  <c r="Y19" i="9"/>
  <c r="Z19" i="9"/>
  <c r="AA19" i="9"/>
  <c r="AB19" i="9"/>
  <c r="D20" i="9"/>
  <c r="E20" i="9"/>
  <c r="F20" i="9"/>
  <c r="G20" i="9"/>
  <c r="H20" i="9"/>
  <c r="I20" i="9"/>
  <c r="J20" i="9"/>
  <c r="K20" i="9"/>
  <c r="L20" i="9"/>
  <c r="M20" i="9"/>
  <c r="N20" i="9"/>
  <c r="O20" i="9"/>
  <c r="P20" i="9"/>
  <c r="Q20" i="9"/>
  <c r="R20" i="9"/>
  <c r="S20" i="9"/>
  <c r="T20" i="9"/>
  <c r="U20" i="9"/>
  <c r="V20" i="9"/>
  <c r="W20" i="9"/>
  <c r="X20" i="9"/>
  <c r="Y20" i="9"/>
  <c r="Z20" i="9"/>
  <c r="AA20" i="9"/>
  <c r="AB20" i="9"/>
  <c r="B21" i="9"/>
  <c r="D21" i="9"/>
  <c r="E21" i="9"/>
  <c r="F21" i="9"/>
  <c r="G21" i="9"/>
  <c r="H21" i="9"/>
  <c r="I21" i="9"/>
  <c r="J21" i="9"/>
  <c r="K21" i="9"/>
  <c r="L21" i="9"/>
  <c r="M21" i="9"/>
  <c r="N21" i="9"/>
  <c r="O21" i="9"/>
  <c r="P21" i="9"/>
  <c r="Q21" i="9"/>
  <c r="R21" i="9"/>
  <c r="S21" i="9"/>
  <c r="T21" i="9"/>
  <c r="U21" i="9"/>
  <c r="V21" i="9"/>
  <c r="W21" i="9"/>
  <c r="X21" i="9"/>
  <c r="Y21" i="9"/>
  <c r="Z21" i="9"/>
  <c r="AA21" i="9"/>
  <c r="AB21" i="9"/>
  <c r="B24" i="9"/>
  <c r="D24" i="9"/>
  <c r="E24" i="9"/>
  <c r="F24" i="9"/>
  <c r="G24" i="9"/>
  <c r="H24" i="9"/>
  <c r="I24" i="9"/>
  <c r="J24" i="9"/>
  <c r="K24" i="9"/>
  <c r="L24" i="9"/>
  <c r="M24" i="9"/>
  <c r="N24" i="9"/>
  <c r="O24" i="9"/>
  <c r="P24" i="9"/>
  <c r="Q24" i="9"/>
  <c r="R24" i="9"/>
  <c r="S24" i="9"/>
  <c r="T24" i="9"/>
  <c r="U24" i="9"/>
  <c r="V24" i="9"/>
  <c r="W24" i="9"/>
  <c r="X24" i="9"/>
  <c r="Y24" i="9"/>
  <c r="Z24" i="9"/>
  <c r="AA24" i="9"/>
  <c r="AB24" i="9"/>
  <c r="B25" i="9"/>
  <c r="D25" i="9"/>
  <c r="E25" i="9"/>
  <c r="F25" i="9"/>
  <c r="G25" i="9"/>
  <c r="H25" i="9"/>
  <c r="I25" i="9"/>
  <c r="J25" i="9"/>
  <c r="K25" i="9"/>
  <c r="L25" i="9"/>
  <c r="M25" i="9"/>
  <c r="N25" i="9"/>
  <c r="O25" i="9"/>
  <c r="P25" i="9"/>
  <c r="Q25" i="9"/>
  <c r="R25" i="9"/>
  <c r="S25" i="9"/>
  <c r="T25" i="9"/>
  <c r="U25" i="9"/>
  <c r="V25" i="9"/>
  <c r="W25" i="9"/>
  <c r="X25" i="9"/>
  <c r="Y25" i="9"/>
  <c r="Z25" i="9"/>
  <c r="AA25" i="9"/>
  <c r="AB25" i="9"/>
  <c r="B26" i="9"/>
  <c r="D26" i="9"/>
  <c r="E26" i="9"/>
  <c r="F26" i="9"/>
  <c r="G26" i="9"/>
  <c r="H26" i="9"/>
  <c r="I26" i="9"/>
  <c r="J26" i="9"/>
  <c r="K26" i="9"/>
  <c r="L26" i="9"/>
  <c r="M26" i="9"/>
  <c r="N26" i="9"/>
  <c r="O26" i="9"/>
  <c r="P26" i="9"/>
  <c r="Q26" i="9"/>
  <c r="R26" i="9"/>
  <c r="S26" i="9"/>
  <c r="T26" i="9"/>
  <c r="U26" i="9"/>
  <c r="V26" i="9"/>
  <c r="W26" i="9"/>
  <c r="X26" i="9"/>
  <c r="Y26" i="9"/>
  <c r="Z26" i="9"/>
  <c r="AA26" i="9"/>
  <c r="AB26" i="9"/>
  <c r="B27" i="9"/>
  <c r="D27" i="9"/>
  <c r="B28" i="9"/>
  <c r="D28" i="9"/>
  <c r="E28" i="9"/>
  <c r="F28" i="9"/>
  <c r="G28" i="9"/>
  <c r="H28" i="9"/>
  <c r="I28" i="9"/>
  <c r="J28" i="9"/>
  <c r="K28" i="9"/>
  <c r="L28" i="9"/>
  <c r="M28" i="9"/>
  <c r="N28" i="9"/>
  <c r="O28" i="9"/>
  <c r="P28" i="9"/>
  <c r="Q28" i="9"/>
  <c r="R28" i="9"/>
  <c r="S28" i="9"/>
  <c r="T28" i="9"/>
  <c r="U28" i="9"/>
  <c r="V28" i="9"/>
  <c r="W28" i="9"/>
  <c r="X28" i="9"/>
  <c r="Y28" i="9"/>
  <c r="Z28" i="9"/>
  <c r="AA28" i="9"/>
  <c r="AB28" i="9"/>
  <c r="E31" i="9"/>
  <c r="F31" i="9"/>
  <c r="G31" i="9"/>
  <c r="H31" i="9"/>
  <c r="I31" i="9"/>
  <c r="J31" i="9"/>
  <c r="K31" i="9"/>
  <c r="L31" i="9"/>
  <c r="M31" i="9"/>
  <c r="N31" i="9"/>
  <c r="O31" i="9"/>
  <c r="P31" i="9"/>
  <c r="Q31" i="9"/>
  <c r="R31" i="9"/>
  <c r="S31" i="9"/>
  <c r="T31" i="9"/>
  <c r="U31" i="9"/>
  <c r="V31" i="9"/>
  <c r="W31" i="9"/>
  <c r="X31" i="9"/>
  <c r="Y31" i="9"/>
  <c r="Z31" i="9"/>
  <c r="AA31" i="9"/>
  <c r="AB31" i="9"/>
  <c r="C32" i="9"/>
  <c r="D32" i="9"/>
  <c r="E32" i="9"/>
  <c r="F32" i="9"/>
  <c r="G32" i="9"/>
  <c r="H32" i="9"/>
  <c r="I32" i="9"/>
  <c r="J32" i="9"/>
  <c r="K32" i="9"/>
  <c r="L32" i="9"/>
  <c r="M32" i="9"/>
  <c r="N32" i="9"/>
  <c r="O32" i="9"/>
  <c r="P32" i="9"/>
  <c r="Q32" i="9"/>
  <c r="R32" i="9"/>
  <c r="S32" i="9"/>
  <c r="T32" i="9"/>
  <c r="U32" i="9"/>
  <c r="V32" i="9"/>
  <c r="W32" i="9"/>
  <c r="X32" i="9"/>
  <c r="Y32" i="9"/>
  <c r="Z32" i="9"/>
  <c r="AA32" i="9"/>
  <c r="AB32" i="9"/>
  <c r="D33" i="9"/>
  <c r="E33" i="9"/>
  <c r="F33" i="9"/>
  <c r="G33" i="9"/>
  <c r="H33" i="9"/>
  <c r="I33" i="9"/>
  <c r="J33" i="9"/>
  <c r="K33" i="9"/>
  <c r="L33" i="9"/>
  <c r="M33" i="9"/>
  <c r="N33" i="9"/>
  <c r="O33" i="9"/>
  <c r="P33" i="9"/>
  <c r="Q33" i="9"/>
  <c r="R33" i="9"/>
  <c r="S33" i="9"/>
  <c r="T33" i="9"/>
  <c r="U33" i="9"/>
  <c r="V33" i="9"/>
  <c r="W33" i="9"/>
  <c r="X33" i="9"/>
  <c r="Y33" i="9"/>
  <c r="Z33" i="9"/>
  <c r="AA33" i="9"/>
  <c r="AB33" i="9"/>
  <c r="B34" i="9"/>
  <c r="D34" i="9"/>
  <c r="E34" i="9"/>
  <c r="F34" i="9"/>
  <c r="G34" i="9"/>
  <c r="H34" i="9"/>
  <c r="I34" i="9"/>
  <c r="J34" i="9"/>
  <c r="K34" i="9"/>
  <c r="L34" i="9"/>
  <c r="M34" i="9"/>
  <c r="N34" i="9"/>
  <c r="O34" i="9"/>
  <c r="P34" i="9"/>
  <c r="Q34" i="9"/>
  <c r="R34" i="9"/>
  <c r="S34" i="9"/>
  <c r="T34" i="9"/>
  <c r="U34" i="9"/>
  <c r="V34" i="9"/>
  <c r="W34" i="9"/>
  <c r="X34" i="9"/>
  <c r="Y34" i="9"/>
  <c r="Z34" i="9"/>
  <c r="AA34" i="9"/>
  <c r="AB34" i="9"/>
  <c r="B36" i="9"/>
  <c r="D36" i="9"/>
  <c r="E36" i="9"/>
  <c r="F36" i="9"/>
  <c r="G36" i="9"/>
  <c r="H36" i="9"/>
  <c r="I36" i="9"/>
  <c r="J36" i="9"/>
  <c r="K36" i="9"/>
  <c r="L36" i="9"/>
  <c r="M36" i="9"/>
  <c r="N36" i="9"/>
  <c r="O36" i="9"/>
  <c r="P36" i="9"/>
  <c r="Q36" i="9"/>
  <c r="R36" i="9"/>
  <c r="S36" i="9"/>
  <c r="T36" i="9"/>
  <c r="U36" i="9"/>
  <c r="V36" i="9"/>
  <c r="W36" i="9"/>
  <c r="X36" i="9"/>
  <c r="Y36" i="9"/>
  <c r="Z36" i="9"/>
  <c r="AA36" i="9"/>
  <c r="AB36" i="9"/>
  <c r="B37" i="9"/>
  <c r="D37" i="9"/>
  <c r="E37" i="9"/>
  <c r="F37" i="9"/>
  <c r="G37" i="9"/>
  <c r="H37" i="9"/>
  <c r="I37" i="9"/>
  <c r="J37" i="9"/>
  <c r="K37" i="9"/>
  <c r="L37" i="9"/>
  <c r="M37" i="9"/>
  <c r="N37" i="9"/>
  <c r="O37" i="9"/>
  <c r="P37" i="9"/>
  <c r="Q37" i="9"/>
  <c r="R37" i="9"/>
  <c r="S37" i="9"/>
  <c r="T37" i="9"/>
  <c r="U37" i="9"/>
  <c r="V37" i="9"/>
  <c r="W37" i="9"/>
  <c r="X37" i="9"/>
  <c r="Y37" i="9"/>
  <c r="Z37" i="9"/>
  <c r="AA37" i="9"/>
  <c r="AB37" i="9"/>
  <c r="B38" i="9"/>
  <c r="D38" i="9"/>
  <c r="E38" i="9"/>
  <c r="F38" i="9"/>
  <c r="G38" i="9"/>
  <c r="H38" i="9"/>
  <c r="I38" i="9"/>
  <c r="J38" i="9"/>
  <c r="K38" i="9"/>
  <c r="L38" i="9"/>
  <c r="M38" i="9"/>
  <c r="N38" i="9"/>
  <c r="O38" i="9"/>
  <c r="P38" i="9"/>
  <c r="Q38" i="9"/>
  <c r="R38" i="9"/>
  <c r="S38" i="9"/>
  <c r="T38" i="9"/>
  <c r="U38" i="9"/>
  <c r="V38" i="9"/>
  <c r="W38" i="9"/>
  <c r="X38" i="9"/>
  <c r="Y38" i="9"/>
  <c r="Z38" i="9"/>
  <c r="AA38" i="9"/>
  <c r="AB38" i="9"/>
  <c r="B39" i="9"/>
  <c r="D39" i="9"/>
  <c r="B40" i="9"/>
  <c r="D40" i="9"/>
  <c r="E40" i="9"/>
  <c r="F40" i="9"/>
  <c r="G40" i="9"/>
  <c r="H40" i="9"/>
  <c r="I40" i="9"/>
  <c r="J40" i="9"/>
  <c r="K40" i="9"/>
  <c r="L40" i="9"/>
  <c r="M40" i="9"/>
  <c r="N40" i="9"/>
  <c r="O40" i="9"/>
  <c r="P40" i="9"/>
  <c r="Q40" i="9"/>
  <c r="R40" i="9"/>
  <c r="S40" i="9"/>
  <c r="T40" i="9"/>
  <c r="U40" i="9"/>
  <c r="V40" i="9"/>
  <c r="W40" i="9"/>
  <c r="X40" i="9"/>
  <c r="Y40" i="9"/>
  <c r="Z40" i="9"/>
  <c r="AA40" i="9"/>
  <c r="AB40" i="9"/>
  <c r="D42" i="9"/>
  <c r="E42" i="9"/>
  <c r="F42" i="9"/>
  <c r="G42" i="9"/>
  <c r="H42" i="9"/>
  <c r="I42" i="9"/>
  <c r="J42" i="9"/>
  <c r="K42" i="9"/>
  <c r="L42" i="9"/>
  <c r="M42" i="9"/>
  <c r="N42" i="9"/>
  <c r="O42" i="9"/>
  <c r="P42" i="9"/>
  <c r="Q42" i="9"/>
  <c r="R42" i="9"/>
  <c r="S42" i="9"/>
  <c r="T42" i="9"/>
  <c r="U42" i="9"/>
  <c r="V42" i="9"/>
  <c r="W42" i="9"/>
  <c r="X42" i="9"/>
  <c r="Y42" i="9"/>
  <c r="Z42" i="9"/>
  <c r="AA42" i="9"/>
  <c r="AB42" i="9"/>
  <c r="E44" i="9"/>
  <c r="F44" i="9"/>
  <c r="G44" i="9"/>
  <c r="H44" i="9"/>
  <c r="I44" i="9"/>
  <c r="J44" i="9"/>
  <c r="K44" i="9"/>
  <c r="L44" i="9"/>
  <c r="M44" i="9"/>
  <c r="N44" i="9"/>
  <c r="O44" i="9"/>
  <c r="P44" i="9"/>
  <c r="Q44" i="9"/>
  <c r="R44" i="9"/>
  <c r="S44" i="9"/>
  <c r="T44" i="9"/>
  <c r="U44" i="9"/>
  <c r="V44" i="9"/>
  <c r="W44" i="9"/>
  <c r="X44" i="9"/>
  <c r="Y44" i="9"/>
  <c r="Z44" i="9"/>
  <c r="AA44" i="9"/>
  <c r="AB44" i="9"/>
  <c r="B45" i="9"/>
  <c r="D46" i="9"/>
  <c r="E46" i="9"/>
  <c r="F46" i="9"/>
  <c r="G46" i="9"/>
  <c r="H46" i="9"/>
  <c r="I46" i="9"/>
  <c r="J46" i="9"/>
  <c r="K46" i="9"/>
  <c r="L46" i="9"/>
  <c r="M46" i="9"/>
  <c r="N46" i="9"/>
  <c r="O46" i="9"/>
  <c r="P46" i="9"/>
  <c r="Q46" i="9"/>
  <c r="R46" i="9"/>
  <c r="S46" i="9"/>
  <c r="T46" i="9"/>
  <c r="U46" i="9"/>
  <c r="V46" i="9"/>
  <c r="W46" i="9"/>
  <c r="X46" i="9"/>
  <c r="Y46" i="9"/>
  <c r="Z46" i="9"/>
  <c r="AA46" i="9"/>
  <c r="AB46" i="9"/>
  <c r="B48" i="9"/>
  <c r="C48" i="9"/>
  <c r="D48" i="9"/>
  <c r="E48" i="9"/>
  <c r="F48" i="9"/>
  <c r="G48" i="9"/>
  <c r="H48" i="9"/>
  <c r="I48" i="9"/>
  <c r="J48" i="9"/>
  <c r="K48" i="9"/>
  <c r="L48" i="9"/>
  <c r="M48" i="9"/>
  <c r="N48" i="9"/>
  <c r="O48" i="9"/>
  <c r="P48" i="9"/>
  <c r="Q48" i="9"/>
  <c r="R48" i="9"/>
  <c r="S48" i="9"/>
  <c r="T48" i="9"/>
  <c r="U48" i="9"/>
  <c r="V48" i="9"/>
  <c r="W48" i="9"/>
  <c r="X48" i="9"/>
  <c r="Y48" i="9"/>
  <c r="Z48" i="9"/>
  <c r="AA48" i="9"/>
  <c r="AB48" i="9"/>
  <c r="B49" i="9"/>
  <c r="C49" i="9"/>
  <c r="D49" i="9"/>
  <c r="E49" i="9"/>
  <c r="F49" i="9"/>
  <c r="G49" i="9"/>
  <c r="H49" i="9"/>
  <c r="I49" i="9"/>
  <c r="J49" i="9"/>
  <c r="K49" i="9"/>
  <c r="L49" i="9"/>
  <c r="M49" i="9"/>
  <c r="N49" i="9"/>
  <c r="O49" i="9"/>
  <c r="P49" i="9"/>
  <c r="Q49" i="9"/>
  <c r="R49" i="9"/>
  <c r="S49" i="9"/>
  <c r="T49" i="9"/>
  <c r="U49" i="9"/>
  <c r="V49" i="9"/>
  <c r="W49" i="9"/>
  <c r="X49" i="9"/>
  <c r="Y49" i="9"/>
  <c r="Z49" i="9"/>
  <c r="AA49" i="9"/>
  <c r="AB49" i="9"/>
  <c r="B50" i="9"/>
  <c r="D50" i="9"/>
  <c r="E50" i="9"/>
  <c r="F50" i="9"/>
  <c r="G50" i="9"/>
  <c r="H50" i="9"/>
  <c r="I50" i="9"/>
  <c r="J50" i="9"/>
  <c r="K50" i="9"/>
  <c r="L50" i="9"/>
  <c r="M50" i="9"/>
  <c r="N50" i="9"/>
  <c r="O50" i="9"/>
  <c r="P50" i="9"/>
  <c r="Q50" i="9"/>
  <c r="R50" i="9"/>
  <c r="S50" i="9"/>
  <c r="T50" i="9"/>
  <c r="U50" i="9"/>
  <c r="V50" i="9"/>
  <c r="W50" i="9"/>
  <c r="X50" i="9"/>
  <c r="Y50" i="9"/>
  <c r="Z50" i="9"/>
  <c r="AA50" i="9"/>
  <c r="AB50" i="9"/>
  <c r="D51" i="9"/>
  <c r="E51" i="9"/>
  <c r="F51" i="9"/>
  <c r="G51" i="9"/>
  <c r="H51" i="9"/>
  <c r="I51" i="9"/>
  <c r="J51" i="9"/>
  <c r="K51" i="9"/>
  <c r="L51" i="9"/>
  <c r="M51" i="9"/>
  <c r="N51" i="9"/>
  <c r="O51" i="9"/>
  <c r="P51" i="9"/>
  <c r="Q51" i="9"/>
  <c r="R51" i="9"/>
  <c r="S51" i="9"/>
  <c r="T51" i="9"/>
  <c r="U51" i="9"/>
  <c r="V51" i="9"/>
  <c r="W51" i="9"/>
  <c r="X51" i="9"/>
  <c r="Y51" i="9"/>
  <c r="Z51" i="9"/>
  <c r="AA51" i="9"/>
  <c r="AB51" i="9"/>
  <c r="B73" i="9"/>
  <c r="A1" i="10"/>
  <c r="D6" i="10"/>
  <c r="C7" i="10"/>
  <c r="C9" i="10"/>
  <c r="C15" i="10"/>
  <c r="B21" i="10"/>
  <c r="D21" i="10"/>
  <c r="F21" i="10"/>
  <c r="B22" i="10"/>
  <c r="D22" i="10"/>
  <c r="F22" i="10"/>
  <c r="A23" i="10"/>
  <c r="B23" i="10"/>
  <c r="D23" i="10"/>
  <c r="F23" i="10"/>
  <c r="A24" i="10"/>
  <c r="B24" i="10"/>
  <c r="D24" i="10"/>
  <c r="E24" i="10"/>
  <c r="F24" i="10"/>
  <c r="A25" i="10"/>
  <c r="B25" i="10"/>
  <c r="D25" i="10"/>
  <c r="E25" i="10"/>
  <c r="F25" i="10"/>
  <c r="A26" i="10"/>
  <c r="B26" i="10"/>
  <c r="D26" i="10"/>
  <c r="E26" i="10"/>
  <c r="F26" i="10"/>
  <c r="A27" i="10"/>
  <c r="B27" i="10"/>
  <c r="D27" i="10"/>
  <c r="E27" i="10"/>
  <c r="F27" i="10"/>
  <c r="A28" i="10"/>
  <c r="B28" i="10"/>
  <c r="D28" i="10"/>
  <c r="E28" i="10"/>
  <c r="F28" i="10"/>
  <c r="A29" i="10"/>
  <c r="B29" i="10"/>
  <c r="D29" i="10"/>
  <c r="E29" i="10"/>
  <c r="F29" i="10"/>
  <c r="A30" i="10"/>
  <c r="B30" i="10"/>
  <c r="D30" i="10"/>
  <c r="E30" i="10"/>
  <c r="F30" i="10"/>
  <c r="A31" i="10"/>
  <c r="B31" i="10"/>
  <c r="D31" i="10"/>
  <c r="E31" i="10"/>
  <c r="F31" i="10"/>
  <c r="A32" i="10"/>
  <c r="B32" i="10"/>
  <c r="D32" i="10"/>
  <c r="E32" i="10"/>
  <c r="F32" i="10"/>
  <c r="A33" i="10"/>
  <c r="B33" i="10"/>
  <c r="D33" i="10"/>
  <c r="E33" i="10"/>
  <c r="F33" i="10"/>
  <c r="A34" i="10"/>
  <c r="B34" i="10"/>
  <c r="D34" i="10"/>
  <c r="E34" i="10"/>
  <c r="F34" i="10"/>
  <c r="A35" i="10"/>
  <c r="B35" i="10"/>
  <c r="D35" i="10"/>
  <c r="E35" i="10"/>
  <c r="F35" i="10"/>
  <c r="A36" i="10"/>
  <c r="B36" i="10"/>
  <c r="D36" i="10"/>
  <c r="E36" i="10"/>
  <c r="F36" i="10"/>
  <c r="A37" i="10"/>
  <c r="B37" i="10"/>
  <c r="D37" i="10"/>
  <c r="E37" i="10"/>
  <c r="F37" i="10"/>
  <c r="A38" i="10"/>
  <c r="B38" i="10"/>
  <c r="D38" i="10"/>
  <c r="E38" i="10"/>
  <c r="F38" i="10"/>
  <c r="A39" i="10"/>
  <c r="B39" i="10"/>
  <c r="D39" i="10"/>
  <c r="E39" i="10"/>
  <c r="F39" i="10"/>
  <c r="A40" i="10"/>
  <c r="B40" i="10"/>
  <c r="D40" i="10"/>
  <c r="E40" i="10"/>
  <c r="F40" i="10"/>
  <c r="A41" i="10"/>
  <c r="B41" i="10"/>
  <c r="D41" i="10"/>
  <c r="E41" i="10"/>
  <c r="F41" i="10"/>
  <c r="A42" i="10"/>
  <c r="B42" i="10"/>
  <c r="D42" i="10"/>
  <c r="E42" i="10"/>
  <c r="F42" i="10"/>
  <c r="A43" i="10"/>
  <c r="B43" i="10"/>
  <c r="D43" i="10"/>
  <c r="E43" i="10"/>
  <c r="F43" i="10"/>
  <c r="A44" i="10"/>
  <c r="B44" i="10"/>
  <c r="D44" i="10"/>
  <c r="E44" i="10"/>
  <c r="F44" i="10"/>
  <c r="A45" i="10"/>
  <c r="B45" i="10"/>
  <c r="D45" i="10"/>
  <c r="E45" i="10"/>
  <c r="F45" i="10"/>
  <c r="A46" i="10"/>
  <c r="B46" i="10"/>
  <c r="D46" i="10"/>
  <c r="E46" i="10"/>
  <c r="F46" i="10"/>
  <c r="A47" i="10"/>
  <c r="B47" i="10"/>
  <c r="D47" i="10"/>
  <c r="E47" i="10"/>
  <c r="F47" i="10"/>
  <c r="A48" i="10"/>
  <c r="B48" i="10"/>
  <c r="D48" i="10"/>
  <c r="E48" i="10"/>
  <c r="F48" i="10"/>
  <c r="A49" i="10"/>
  <c r="B49" i="10"/>
  <c r="D49" i="10"/>
  <c r="E49" i="10"/>
  <c r="F49" i="10"/>
  <c r="A50" i="10"/>
  <c r="B50" i="10"/>
  <c r="D50" i="10"/>
  <c r="E50" i="10"/>
  <c r="F50" i="10"/>
  <c r="A51" i="10"/>
  <c r="B51" i="10"/>
  <c r="D51" i="10"/>
  <c r="E51" i="10"/>
  <c r="F51" i="10"/>
  <c r="A52" i="10"/>
  <c r="B52" i="10"/>
  <c r="D52" i="10"/>
  <c r="E52" i="10"/>
  <c r="F52" i="10"/>
  <c r="A53" i="10"/>
  <c r="B53" i="10"/>
  <c r="D53" i="10"/>
  <c r="E53" i="10"/>
  <c r="F53" i="10"/>
  <c r="A54" i="10"/>
  <c r="B54" i="10"/>
  <c r="D54" i="10"/>
  <c r="E54" i="10"/>
  <c r="F54" i="10"/>
  <c r="A55" i="10"/>
  <c r="B55" i="10"/>
  <c r="D55" i="10"/>
  <c r="E55" i="10"/>
  <c r="F55" i="10"/>
  <c r="A56" i="10"/>
  <c r="B56" i="10"/>
  <c r="D56" i="10"/>
  <c r="E56" i="10"/>
  <c r="F56" i="10"/>
  <c r="A57" i="10"/>
  <c r="B57" i="10"/>
  <c r="D57" i="10"/>
  <c r="E57" i="10"/>
  <c r="F57" i="10"/>
  <c r="B58" i="10"/>
  <c r="C58" i="10"/>
  <c r="A1" i="13"/>
  <c r="C5" i="13"/>
  <c r="D5" i="13"/>
  <c r="E5" i="13"/>
  <c r="F5" i="13"/>
  <c r="G5" i="13"/>
  <c r="H5" i="13"/>
  <c r="I5" i="13"/>
  <c r="J5" i="13"/>
  <c r="K5" i="13"/>
  <c r="L5" i="13"/>
  <c r="M5" i="13"/>
  <c r="N5" i="13"/>
  <c r="O5" i="13"/>
  <c r="P5" i="13"/>
  <c r="Q5" i="13"/>
  <c r="R5" i="13"/>
  <c r="S5" i="13"/>
  <c r="T5" i="13"/>
  <c r="U5" i="13"/>
  <c r="V5" i="13"/>
  <c r="W5" i="13"/>
  <c r="X5" i="13"/>
  <c r="Y5" i="13"/>
  <c r="Z5" i="13"/>
  <c r="AA5" i="13"/>
  <c r="AB5" i="13"/>
  <c r="D7" i="13"/>
  <c r="E7" i="13"/>
  <c r="F7" i="13"/>
  <c r="G7" i="13"/>
  <c r="H7" i="13"/>
  <c r="I7" i="13"/>
  <c r="J7" i="13"/>
  <c r="K7" i="13"/>
  <c r="L7" i="13"/>
  <c r="M7" i="13"/>
  <c r="N7" i="13"/>
  <c r="O7" i="13"/>
  <c r="P7" i="13"/>
  <c r="Q7" i="13"/>
  <c r="R7" i="13"/>
  <c r="S7" i="13"/>
  <c r="T7" i="13"/>
  <c r="U7" i="13"/>
  <c r="V7" i="13"/>
  <c r="W7" i="13"/>
  <c r="X7" i="13"/>
  <c r="Y7" i="13"/>
  <c r="Z7" i="13"/>
  <c r="AA7" i="13"/>
  <c r="AB7" i="13"/>
  <c r="D8" i="13"/>
  <c r="E8" i="13"/>
  <c r="F8" i="13"/>
  <c r="G8" i="13"/>
  <c r="H8" i="13"/>
  <c r="I8" i="13"/>
  <c r="J8" i="13"/>
  <c r="K8" i="13"/>
  <c r="L8" i="13"/>
  <c r="M8" i="13"/>
  <c r="N8" i="13"/>
  <c r="O8" i="13"/>
  <c r="P8" i="13"/>
  <c r="Q8" i="13"/>
  <c r="R8" i="13"/>
  <c r="S8" i="13"/>
  <c r="T8" i="13"/>
  <c r="U8" i="13"/>
  <c r="V8" i="13"/>
  <c r="W8" i="13"/>
  <c r="X8" i="13"/>
  <c r="Y8" i="13"/>
  <c r="Z8" i="13"/>
  <c r="AA8" i="13"/>
  <c r="AB8"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G12" i="13"/>
  <c r="J12" i="13"/>
  <c r="M12" i="13"/>
  <c r="Q12" i="13"/>
  <c r="T12" i="13"/>
  <c r="W12" i="13"/>
  <c r="D13" i="13"/>
  <c r="E13" i="13"/>
  <c r="F13" i="13"/>
  <c r="G13" i="13"/>
  <c r="H13" i="13"/>
  <c r="I13" i="13"/>
  <c r="J13" i="13"/>
  <c r="K13" i="13"/>
  <c r="L13" i="13"/>
  <c r="M13" i="13"/>
  <c r="N13" i="13"/>
  <c r="O13" i="13"/>
  <c r="P13" i="13"/>
  <c r="Q13" i="13"/>
  <c r="R13" i="13"/>
  <c r="S13" i="13"/>
  <c r="T13" i="13"/>
  <c r="U13" i="13"/>
  <c r="V13" i="13"/>
  <c r="W13" i="13"/>
  <c r="X13" i="13"/>
  <c r="Y13" i="13"/>
  <c r="Z13" i="13"/>
  <c r="AA13" i="13"/>
  <c r="AB13" i="13"/>
  <c r="D14" i="13"/>
  <c r="E14" i="13"/>
  <c r="F14" i="13"/>
  <c r="G14" i="13"/>
  <c r="H14" i="13"/>
  <c r="I14" i="13"/>
  <c r="J14" i="13"/>
  <c r="K14" i="13"/>
  <c r="L14" i="13"/>
  <c r="M14" i="13"/>
  <c r="N14" i="13"/>
  <c r="O14" i="13"/>
  <c r="P14" i="13"/>
  <c r="Q14" i="13"/>
  <c r="R14" i="13"/>
  <c r="S14" i="13"/>
  <c r="T14" i="13"/>
  <c r="U14" i="13"/>
  <c r="V14" i="13"/>
  <c r="W14" i="13"/>
  <c r="X14" i="13"/>
  <c r="Y14" i="13"/>
  <c r="Z14" i="13"/>
  <c r="AA14" i="13"/>
  <c r="AB14" i="13"/>
  <c r="D15" i="13"/>
  <c r="E15" i="13"/>
  <c r="F15" i="13"/>
  <c r="G15" i="13"/>
  <c r="H15" i="13"/>
  <c r="I15" i="13"/>
  <c r="J15" i="13"/>
  <c r="K15" i="13"/>
  <c r="L15" i="13"/>
  <c r="M15" i="13"/>
  <c r="N15" i="13"/>
  <c r="O15" i="13"/>
  <c r="P15" i="13"/>
  <c r="Q15" i="13"/>
  <c r="R15" i="13"/>
  <c r="S15" i="13"/>
  <c r="T15" i="13"/>
  <c r="U15" i="13"/>
  <c r="V15" i="13"/>
  <c r="W15" i="13"/>
  <c r="X15" i="13"/>
  <c r="Y15" i="13"/>
  <c r="Z15" i="13"/>
  <c r="AA15" i="13"/>
  <c r="AB15" i="13"/>
  <c r="B21" i="13"/>
  <c r="F21" i="13"/>
  <c r="G21" i="13"/>
  <c r="H21" i="13"/>
  <c r="I21" i="13"/>
  <c r="J21" i="13"/>
  <c r="F22" i="13"/>
  <c r="G22" i="13"/>
  <c r="H22" i="13"/>
  <c r="I22" i="13"/>
  <c r="J22" i="13"/>
  <c r="F23" i="13"/>
  <c r="G23" i="13"/>
  <c r="H23" i="13"/>
  <c r="I23" i="13"/>
  <c r="J23" i="13"/>
  <c r="F24" i="13"/>
  <c r="G24" i="13"/>
  <c r="H24" i="13"/>
  <c r="I24" i="13"/>
  <c r="J24" i="13"/>
  <c r="F25" i="13"/>
  <c r="G25" i="13"/>
  <c r="H25" i="13"/>
  <c r="I25" i="13"/>
  <c r="J25" i="13"/>
  <c r="F26" i="13"/>
  <c r="G26" i="13"/>
  <c r="H26" i="13"/>
  <c r="I26" i="13"/>
  <c r="J26" i="13"/>
  <c r="F27" i="13"/>
  <c r="G27" i="13"/>
  <c r="H27" i="13"/>
  <c r="I27" i="13"/>
  <c r="J27" i="13"/>
  <c r="F28" i="13"/>
  <c r="G28" i="13"/>
  <c r="H28" i="13"/>
  <c r="I28" i="13"/>
  <c r="J28" i="13"/>
  <c r="F29" i="13"/>
  <c r="G29" i="13"/>
  <c r="H29" i="13"/>
  <c r="I29" i="13"/>
  <c r="J29" i="13"/>
  <c r="F30" i="13"/>
  <c r="G30" i="13"/>
  <c r="H30" i="13"/>
  <c r="I30" i="13"/>
  <c r="J30" i="13"/>
  <c r="F31" i="13"/>
  <c r="G31" i="13"/>
  <c r="H31" i="13"/>
  <c r="I31" i="13"/>
  <c r="J31" i="13"/>
  <c r="F32" i="13"/>
  <c r="G32" i="13"/>
  <c r="H32" i="13"/>
  <c r="I32" i="13"/>
  <c r="J32" i="13"/>
  <c r="F33" i="13"/>
  <c r="G33" i="13"/>
  <c r="H33" i="13"/>
  <c r="I33" i="13"/>
  <c r="J33" i="13"/>
  <c r="F34" i="13"/>
  <c r="G34" i="13"/>
  <c r="H34" i="13"/>
  <c r="I34" i="13"/>
  <c r="J34" i="13"/>
  <c r="F35" i="13"/>
  <c r="G35" i="13"/>
  <c r="H35" i="13"/>
  <c r="I35" i="13"/>
  <c r="J35" i="13"/>
  <c r="F36" i="13"/>
  <c r="G36" i="13"/>
  <c r="H36" i="13"/>
  <c r="I36" i="13"/>
  <c r="J36" i="13"/>
  <c r="F37" i="13"/>
  <c r="G37" i="13"/>
  <c r="H37" i="13"/>
  <c r="I37" i="13"/>
  <c r="J37" i="13"/>
  <c r="F38" i="13"/>
  <c r="G38" i="13"/>
  <c r="H38" i="13"/>
  <c r="I38" i="13"/>
  <c r="J38" i="13"/>
  <c r="F39" i="13"/>
  <c r="G39" i="13"/>
  <c r="H39" i="13"/>
  <c r="I39" i="13"/>
  <c r="J39" i="13"/>
  <c r="F40" i="13"/>
  <c r="G40" i="13"/>
  <c r="H40" i="13"/>
  <c r="I40" i="13"/>
  <c r="J40" i="13"/>
  <c r="F41" i="13"/>
  <c r="G41" i="13"/>
  <c r="H41" i="13"/>
  <c r="I41" i="13"/>
  <c r="J41" i="13"/>
  <c r="F42" i="13"/>
  <c r="G42" i="13"/>
  <c r="H42" i="13"/>
  <c r="I42" i="13"/>
  <c r="J42" i="13"/>
  <c r="F43" i="13"/>
  <c r="G43" i="13"/>
  <c r="H43" i="13"/>
  <c r="I43" i="13"/>
  <c r="J43" i="13"/>
  <c r="F44" i="13"/>
  <c r="G44" i="13"/>
  <c r="H44" i="13"/>
  <c r="I44" i="13"/>
  <c r="J44" i="13"/>
  <c r="A1" i="3"/>
  <c r="C3" i="3"/>
  <c r="D3" i="3"/>
  <c r="E3" i="3"/>
  <c r="F3" i="3"/>
  <c r="G3" i="3"/>
  <c r="H3" i="3"/>
  <c r="I3" i="3"/>
  <c r="J3" i="3"/>
  <c r="K3" i="3"/>
  <c r="L3" i="3"/>
  <c r="M3" i="3"/>
  <c r="N3" i="3"/>
  <c r="O3" i="3"/>
  <c r="P3" i="3"/>
  <c r="Q3" i="3"/>
  <c r="R3" i="3"/>
  <c r="S3" i="3"/>
  <c r="T3" i="3"/>
  <c r="U3" i="3"/>
  <c r="V3" i="3"/>
  <c r="W3" i="3"/>
  <c r="C4" i="3"/>
  <c r="D4" i="3"/>
  <c r="E4" i="3"/>
  <c r="F4" i="3"/>
  <c r="G4" i="3"/>
  <c r="H4" i="3"/>
  <c r="I4" i="3"/>
  <c r="J4" i="3"/>
  <c r="K4" i="3"/>
  <c r="L4" i="3"/>
  <c r="M4" i="3"/>
  <c r="N4" i="3"/>
  <c r="O4" i="3"/>
  <c r="P4" i="3"/>
  <c r="Q4" i="3"/>
  <c r="R4" i="3"/>
  <c r="S4" i="3"/>
  <c r="T4" i="3"/>
  <c r="U4" i="3"/>
  <c r="V4" i="3"/>
  <c r="W4" i="3"/>
  <c r="C8" i="3"/>
  <c r="D8" i="3"/>
  <c r="E8" i="3"/>
  <c r="F8" i="3"/>
  <c r="G8" i="3"/>
  <c r="H8" i="3"/>
  <c r="I8" i="3"/>
  <c r="J8" i="3"/>
  <c r="K8" i="3"/>
  <c r="L8" i="3"/>
  <c r="M8" i="3"/>
  <c r="N8" i="3"/>
  <c r="O8" i="3"/>
  <c r="P8" i="3"/>
  <c r="Q8" i="3"/>
  <c r="R8" i="3"/>
  <c r="S8" i="3"/>
  <c r="T8" i="3"/>
  <c r="U8" i="3"/>
  <c r="V8" i="3"/>
  <c r="W8" i="3"/>
  <c r="C10" i="3"/>
  <c r="D10" i="3"/>
  <c r="E10" i="3"/>
  <c r="F10" i="3"/>
  <c r="G10" i="3"/>
  <c r="H10" i="3"/>
  <c r="I10" i="3"/>
  <c r="J10" i="3"/>
  <c r="K10" i="3"/>
  <c r="L10" i="3"/>
  <c r="M10" i="3"/>
  <c r="N10" i="3"/>
  <c r="O10" i="3"/>
  <c r="P10" i="3"/>
  <c r="Q10" i="3"/>
  <c r="R10" i="3"/>
  <c r="S10" i="3"/>
  <c r="T10" i="3"/>
  <c r="U10" i="3"/>
  <c r="V10" i="3"/>
  <c r="W10" i="3"/>
  <c r="C11" i="3"/>
  <c r="D11" i="3"/>
  <c r="E11" i="3"/>
  <c r="F11" i="3"/>
  <c r="G11" i="3"/>
  <c r="H11" i="3"/>
  <c r="I11" i="3"/>
  <c r="J11" i="3"/>
  <c r="K11" i="3"/>
  <c r="L11" i="3"/>
  <c r="M11" i="3"/>
  <c r="N11" i="3"/>
  <c r="O11" i="3"/>
  <c r="P11" i="3"/>
  <c r="Q11" i="3"/>
  <c r="R11" i="3"/>
  <c r="S11" i="3"/>
  <c r="T11" i="3"/>
  <c r="U11" i="3"/>
  <c r="V11" i="3"/>
  <c r="W11" i="3"/>
  <c r="C12" i="3"/>
  <c r="D12" i="3"/>
  <c r="E12" i="3"/>
  <c r="F12" i="3"/>
  <c r="G12" i="3"/>
  <c r="H12" i="3"/>
  <c r="I12" i="3"/>
  <c r="J12" i="3"/>
  <c r="K12" i="3"/>
  <c r="L12" i="3"/>
  <c r="M12" i="3"/>
  <c r="N12" i="3"/>
  <c r="O12" i="3"/>
  <c r="P12" i="3"/>
  <c r="Q12" i="3"/>
  <c r="R12" i="3"/>
  <c r="S12" i="3"/>
  <c r="T12" i="3"/>
  <c r="U12" i="3"/>
  <c r="V12" i="3"/>
  <c r="W12" i="3"/>
  <c r="C15" i="3"/>
  <c r="D15" i="3"/>
  <c r="E15" i="3"/>
  <c r="F15" i="3"/>
  <c r="G15" i="3"/>
  <c r="H15" i="3"/>
  <c r="I15" i="3"/>
  <c r="J15" i="3"/>
  <c r="K15" i="3"/>
  <c r="L15" i="3"/>
  <c r="M15" i="3"/>
  <c r="N15" i="3"/>
  <c r="O15" i="3"/>
  <c r="P15" i="3"/>
  <c r="Q15" i="3"/>
  <c r="R15" i="3"/>
  <c r="S15" i="3"/>
  <c r="T15" i="3"/>
  <c r="U15" i="3"/>
  <c r="V15" i="3"/>
  <c r="W15" i="3"/>
  <c r="C17" i="3"/>
  <c r="D17" i="3"/>
  <c r="E17" i="3"/>
  <c r="F17" i="3"/>
  <c r="G17" i="3"/>
  <c r="H17" i="3"/>
  <c r="I17" i="3"/>
  <c r="J17" i="3"/>
  <c r="K17" i="3"/>
  <c r="L17" i="3"/>
  <c r="M17" i="3"/>
  <c r="N17" i="3"/>
  <c r="O17" i="3"/>
  <c r="P17" i="3"/>
  <c r="Q17" i="3"/>
  <c r="R17" i="3"/>
  <c r="S17" i="3"/>
  <c r="T17" i="3"/>
  <c r="U17" i="3"/>
  <c r="V17" i="3"/>
  <c r="W17" i="3"/>
  <c r="C19" i="3"/>
  <c r="D19" i="3"/>
  <c r="E19" i="3"/>
  <c r="F19" i="3"/>
  <c r="G19" i="3"/>
  <c r="H19" i="3"/>
  <c r="I19" i="3"/>
  <c r="J19" i="3"/>
  <c r="K19" i="3"/>
  <c r="L19" i="3"/>
  <c r="M19" i="3"/>
  <c r="N19" i="3"/>
  <c r="O19" i="3"/>
  <c r="P19" i="3"/>
  <c r="Q19" i="3"/>
  <c r="R19" i="3"/>
  <c r="S19" i="3"/>
  <c r="T19" i="3"/>
  <c r="U19" i="3"/>
  <c r="V19" i="3"/>
  <c r="W19" i="3"/>
  <c r="C20" i="3"/>
  <c r="D20" i="3"/>
  <c r="E20" i="3"/>
  <c r="F20" i="3"/>
  <c r="G20" i="3"/>
  <c r="H20" i="3"/>
  <c r="I20" i="3"/>
  <c r="J20" i="3"/>
  <c r="K20" i="3"/>
  <c r="L20" i="3"/>
  <c r="M20" i="3"/>
  <c r="N20" i="3"/>
  <c r="O20" i="3"/>
  <c r="P20" i="3"/>
  <c r="Q20" i="3"/>
  <c r="R20" i="3"/>
  <c r="S20" i="3"/>
  <c r="T20" i="3"/>
  <c r="U20" i="3"/>
  <c r="V20" i="3"/>
  <c r="W20" i="3"/>
  <c r="C21" i="3"/>
  <c r="D21" i="3"/>
  <c r="E21" i="3"/>
  <c r="F21" i="3"/>
  <c r="G21" i="3"/>
  <c r="H21" i="3"/>
  <c r="I21" i="3"/>
  <c r="J21" i="3"/>
  <c r="K21" i="3"/>
  <c r="L21" i="3"/>
  <c r="M21" i="3"/>
  <c r="N21" i="3"/>
  <c r="O21" i="3"/>
  <c r="P21" i="3"/>
  <c r="Q21" i="3"/>
  <c r="R21" i="3"/>
  <c r="S21" i="3"/>
  <c r="T21" i="3"/>
  <c r="U21" i="3"/>
  <c r="V21" i="3"/>
  <c r="W21" i="3"/>
  <c r="C22" i="3"/>
  <c r="D22" i="3"/>
  <c r="E22" i="3"/>
  <c r="F22" i="3"/>
  <c r="G22" i="3"/>
  <c r="H22" i="3"/>
  <c r="I22" i="3"/>
  <c r="J22" i="3"/>
  <c r="K22" i="3"/>
  <c r="L22" i="3"/>
  <c r="M22" i="3"/>
  <c r="N22" i="3"/>
  <c r="O22" i="3"/>
  <c r="P22" i="3"/>
  <c r="Q22" i="3"/>
  <c r="R22" i="3"/>
  <c r="S22" i="3"/>
  <c r="T22" i="3"/>
  <c r="U22" i="3"/>
  <c r="V22" i="3"/>
  <c r="W22" i="3"/>
  <c r="C25" i="3"/>
  <c r="D25" i="3"/>
  <c r="E25" i="3"/>
  <c r="F25" i="3"/>
  <c r="G25" i="3"/>
  <c r="H25" i="3"/>
  <c r="I25" i="3"/>
  <c r="J25" i="3"/>
  <c r="K25" i="3"/>
  <c r="L25" i="3"/>
  <c r="M25" i="3"/>
  <c r="N25" i="3"/>
  <c r="O25" i="3"/>
  <c r="P25" i="3"/>
  <c r="Q25" i="3"/>
  <c r="R25" i="3"/>
  <c r="S25" i="3"/>
  <c r="T25" i="3"/>
  <c r="U25" i="3"/>
  <c r="V25" i="3"/>
  <c r="W25" i="3"/>
  <c r="C26" i="3"/>
  <c r="D26" i="3"/>
  <c r="E26" i="3"/>
  <c r="F26" i="3"/>
  <c r="G26" i="3"/>
  <c r="H26" i="3"/>
  <c r="I26" i="3"/>
  <c r="J26" i="3"/>
  <c r="K26" i="3"/>
  <c r="L26" i="3"/>
  <c r="M26" i="3"/>
  <c r="N26" i="3"/>
  <c r="O26" i="3"/>
  <c r="P26" i="3"/>
  <c r="Q26" i="3"/>
  <c r="R26" i="3"/>
  <c r="S26" i="3"/>
  <c r="T26" i="3"/>
  <c r="U26" i="3"/>
  <c r="V26" i="3"/>
  <c r="W26" i="3"/>
  <c r="C27" i="3"/>
  <c r="D27" i="3"/>
  <c r="E27" i="3"/>
  <c r="F27" i="3"/>
  <c r="G27" i="3"/>
  <c r="H27" i="3"/>
  <c r="I27" i="3"/>
  <c r="J27" i="3"/>
  <c r="K27" i="3"/>
  <c r="L27" i="3"/>
  <c r="M27" i="3"/>
  <c r="N27" i="3"/>
  <c r="O27" i="3"/>
  <c r="P27" i="3"/>
  <c r="Q27" i="3"/>
  <c r="R27" i="3"/>
  <c r="S27" i="3"/>
  <c r="T27" i="3"/>
  <c r="U27" i="3"/>
  <c r="V27" i="3"/>
  <c r="W27" i="3"/>
  <c r="C28" i="3"/>
  <c r="D28" i="3"/>
  <c r="E28" i="3"/>
  <c r="F28" i="3"/>
  <c r="G28" i="3"/>
  <c r="H28" i="3"/>
  <c r="I28" i="3"/>
  <c r="J28" i="3"/>
  <c r="K28" i="3"/>
  <c r="L28" i="3"/>
  <c r="M28" i="3"/>
  <c r="N28" i="3"/>
  <c r="O28" i="3"/>
  <c r="P28" i="3"/>
  <c r="Q28" i="3"/>
  <c r="R28" i="3"/>
  <c r="S28" i="3"/>
  <c r="T28" i="3"/>
  <c r="U28" i="3"/>
  <c r="V28" i="3"/>
  <c r="W28" i="3"/>
  <c r="C30" i="3"/>
  <c r="D30" i="3"/>
  <c r="E30" i="3"/>
  <c r="F30" i="3"/>
  <c r="G30" i="3"/>
  <c r="H30" i="3"/>
  <c r="I30" i="3"/>
  <c r="J30" i="3"/>
  <c r="K30" i="3"/>
  <c r="L30" i="3"/>
  <c r="M30" i="3"/>
  <c r="N30" i="3"/>
  <c r="O30" i="3"/>
  <c r="P30" i="3"/>
  <c r="Q30" i="3"/>
  <c r="R30" i="3"/>
  <c r="S30" i="3"/>
  <c r="T30" i="3"/>
  <c r="U30" i="3"/>
  <c r="V30" i="3"/>
  <c r="W30" i="3"/>
  <c r="C31" i="3"/>
  <c r="D31" i="3"/>
  <c r="E31" i="3"/>
  <c r="F31" i="3"/>
  <c r="G31" i="3"/>
  <c r="H31" i="3"/>
  <c r="I31" i="3"/>
  <c r="J31" i="3"/>
  <c r="K31" i="3"/>
  <c r="L31" i="3"/>
  <c r="M31" i="3"/>
  <c r="N31" i="3"/>
  <c r="O31" i="3"/>
  <c r="P31" i="3"/>
  <c r="Q31" i="3"/>
  <c r="R31" i="3"/>
  <c r="S31" i="3"/>
  <c r="T31" i="3"/>
  <c r="U31" i="3"/>
  <c r="V31" i="3"/>
  <c r="W31" i="3"/>
  <c r="C32" i="3"/>
  <c r="D32" i="3"/>
  <c r="E32" i="3"/>
  <c r="F32" i="3"/>
  <c r="G32" i="3"/>
  <c r="H32" i="3"/>
  <c r="I32" i="3"/>
  <c r="J32" i="3"/>
  <c r="K32" i="3"/>
  <c r="L32" i="3"/>
  <c r="M32" i="3"/>
  <c r="N32" i="3"/>
  <c r="O32" i="3"/>
  <c r="P32" i="3"/>
  <c r="Q32" i="3"/>
  <c r="R32" i="3"/>
  <c r="S32" i="3"/>
  <c r="T32" i="3"/>
  <c r="U32" i="3"/>
  <c r="V32" i="3"/>
  <c r="W32" i="3"/>
  <c r="C33" i="3"/>
  <c r="D33" i="3"/>
  <c r="E33" i="3"/>
  <c r="F33" i="3"/>
  <c r="G33" i="3"/>
  <c r="H33" i="3"/>
  <c r="I33" i="3"/>
  <c r="J33" i="3"/>
  <c r="K33" i="3"/>
  <c r="L33" i="3"/>
  <c r="M33" i="3"/>
  <c r="N33" i="3"/>
  <c r="O33" i="3"/>
  <c r="P33" i="3"/>
  <c r="Q33" i="3"/>
  <c r="R33" i="3"/>
  <c r="S33" i="3"/>
  <c r="T33" i="3"/>
  <c r="U33" i="3"/>
  <c r="V33" i="3"/>
  <c r="W33" i="3"/>
  <c r="C35" i="3"/>
  <c r="D35" i="3"/>
  <c r="E35" i="3"/>
  <c r="F35" i="3"/>
  <c r="G35" i="3"/>
  <c r="H35" i="3"/>
  <c r="I35" i="3"/>
  <c r="J35" i="3"/>
  <c r="K35" i="3"/>
  <c r="L35" i="3"/>
  <c r="M35" i="3"/>
  <c r="N35" i="3"/>
  <c r="O35" i="3"/>
  <c r="P35" i="3"/>
  <c r="Q35" i="3"/>
  <c r="R35" i="3"/>
  <c r="S35" i="3"/>
  <c r="T35" i="3"/>
  <c r="U35" i="3"/>
  <c r="V35" i="3"/>
  <c r="W35" i="3"/>
  <c r="C36" i="3"/>
  <c r="D36" i="3"/>
  <c r="E36" i="3"/>
  <c r="F36" i="3"/>
  <c r="G36" i="3"/>
  <c r="H36" i="3"/>
  <c r="I36" i="3"/>
  <c r="J36" i="3"/>
  <c r="K36" i="3"/>
  <c r="L36" i="3"/>
  <c r="M36" i="3"/>
  <c r="N36" i="3"/>
  <c r="O36" i="3"/>
  <c r="P36" i="3"/>
  <c r="Q36" i="3"/>
  <c r="R36" i="3"/>
  <c r="S36" i="3"/>
  <c r="T36" i="3"/>
  <c r="U36" i="3"/>
  <c r="V36" i="3"/>
  <c r="W36" i="3"/>
  <c r="C37" i="3"/>
  <c r="D37" i="3"/>
  <c r="E37" i="3"/>
  <c r="F37" i="3"/>
  <c r="G37" i="3"/>
  <c r="H37" i="3"/>
  <c r="I37" i="3"/>
  <c r="J37" i="3"/>
  <c r="K37" i="3"/>
  <c r="L37" i="3"/>
  <c r="M37" i="3"/>
  <c r="N37" i="3"/>
  <c r="O37" i="3"/>
  <c r="P37" i="3"/>
  <c r="Q37" i="3"/>
  <c r="R37" i="3"/>
  <c r="S37" i="3"/>
  <c r="T37" i="3"/>
  <c r="U37" i="3"/>
  <c r="V37" i="3"/>
  <c r="W37" i="3"/>
  <c r="C38" i="3"/>
  <c r="D38" i="3"/>
  <c r="E38" i="3"/>
  <c r="F38" i="3"/>
  <c r="G38" i="3"/>
  <c r="H38" i="3"/>
  <c r="I38" i="3"/>
  <c r="J38" i="3"/>
  <c r="K38" i="3"/>
  <c r="L38" i="3"/>
  <c r="M38" i="3"/>
  <c r="N38" i="3"/>
  <c r="O38" i="3"/>
  <c r="P38" i="3"/>
  <c r="Q38" i="3"/>
  <c r="R38" i="3"/>
  <c r="S38" i="3"/>
  <c r="T38" i="3"/>
  <c r="U38" i="3"/>
  <c r="V38" i="3"/>
  <c r="W38" i="3"/>
  <c r="C42" i="3"/>
  <c r="D42" i="3"/>
  <c r="E42" i="3"/>
  <c r="F42" i="3"/>
  <c r="G42" i="3"/>
  <c r="H42" i="3"/>
  <c r="I42" i="3"/>
  <c r="J42" i="3"/>
  <c r="K42" i="3"/>
  <c r="L42" i="3"/>
  <c r="M42" i="3"/>
  <c r="N42" i="3"/>
  <c r="O42" i="3"/>
  <c r="P42" i="3"/>
  <c r="Q42" i="3"/>
  <c r="R42" i="3"/>
  <c r="S42" i="3"/>
  <c r="T42" i="3"/>
  <c r="U42" i="3"/>
  <c r="V42" i="3"/>
  <c r="W42" i="3"/>
  <c r="C44" i="3"/>
  <c r="D44" i="3"/>
  <c r="E44" i="3"/>
  <c r="F44" i="3"/>
  <c r="G44" i="3"/>
  <c r="H44" i="3"/>
  <c r="I44" i="3"/>
  <c r="J44" i="3"/>
  <c r="K44" i="3"/>
  <c r="L44" i="3"/>
  <c r="M44" i="3"/>
  <c r="N44" i="3"/>
  <c r="O44" i="3"/>
  <c r="P44" i="3"/>
  <c r="Q44" i="3"/>
  <c r="R44" i="3"/>
  <c r="S44" i="3"/>
  <c r="T44" i="3"/>
  <c r="U44" i="3"/>
  <c r="V44" i="3"/>
  <c r="W44" i="3"/>
  <c r="C47" i="3"/>
  <c r="D47" i="3"/>
  <c r="E47" i="3"/>
  <c r="F47" i="3"/>
  <c r="G47" i="3"/>
  <c r="H47" i="3"/>
  <c r="I47" i="3"/>
  <c r="J47" i="3"/>
  <c r="K47" i="3"/>
  <c r="L47" i="3"/>
  <c r="M47" i="3"/>
  <c r="N47" i="3"/>
  <c r="O47" i="3"/>
  <c r="P47" i="3"/>
  <c r="Q47" i="3"/>
  <c r="R47" i="3"/>
  <c r="S47" i="3"/>
  <c r="T47" i="3"/>
  <c r="U47" i="3"/>
  <c r="V47" i="3"/>
  <c r="W47" i="3"/>
  <c r="A1" i="2"/>
  <c r="D3" i="2"/>
  <c r="E3" i="2"/>
  <c r="F3" i="2"/>
  <c r="G3" i="2"/>
  <c r="H3" i="2"/>
  <c r="I3" i="2"/>
  <c r="J3" i="2"/>
  <c r="K3" i="2"/>
  <c r="L3" i="2"/>
  <c r="M3" i="2"/>
  <c r="N3" i="2"/>
  <c r="O3" i="2"/>
  <c r="P3" i="2"/>
  <c r="Q3" i="2"/>
  <c r="R3" i="2"/>
  <c r="S3" i="2"/>
  <c r="T3" i="2"/>
  <c r="U3" i="2"/>
  <c r="V3" i="2"/>
  <c r="W3" i="2"/>
  <c r="X3" i="2"/>
  <c r="Y3" i="2"/>
  <c r="Z3" i="2"/>
  <c r="AA3" i="2"/>
  <c r="C4" i="2"/>
  <c r="D4" i="2"/>
  <c r="E4" i="2"/>
  <c r="F4" i="2"/>
  <c r="G4" i="2"/>
  <c r="H4" i="2"/>
  <c r="I4" i="2"/>
  <c r="J4" i="2"/>
  <c r="K4" i="2"/>
  <c r="L4" i="2"/>
  <c r="M4" i="2"/>
  <c r="N4" i="2"/>
  <c r="O4" i="2"/>
  <c r="P4" i="2"/>
  <c r="Q4" i="2"/>
  <c r="R4" i="2"/>
  <c r="S4" i="2"/>
  <c r="T4" i="2"/>
  <c r="U4" i="2"/>
  <c r="V4" i="2"/>
  <c r="W4" i="2"/>
  <c r="X4" i="2"/>
  <c r="Y4" i="2"/>
  <c r="Z4" i="2"/>
  <c r="AA4" i="2"/>
  <c r="C5" i="2"/>
  <c r="D5" i="2"/>
  <c r="E5" i="2"/>
  <c r="F5" i="2"/>
  <c r="G5" i="2"/>
  <c r="H5" i="2"/>
  <c r="I5" i="2"/>
  <c r="J5" i="2"/>
  <c r="K5" i="2"/>
  <c r="L5" i="2"/>
  <c r="M5" i="2"/>
  <c r="N5" i="2"/>
  <c r="O5" i="2"/>
  <c r="P5" i="2"/>
  <c r="Q5" i="2"/>
  <c r="R5" i="2"/>
  <c r="S5" i="2"/>
  <c r="T5" i="2"/>
  <c r="U5" i="2"/>
  <c r="V5" i="2"/>
  <c r="X5" i="2"/>
  <c r="Y5" i="2"/>
  <c r="Z5" i="2"/>
  <c r="AA5" i="2"/>
  <c r="C6" i="2"/>
  <c r="D6" i="2"/>
  <c r="E6" i="2"/>
  <c r="F6" i="2"/>
  <c r="G6" i="2"/>
  <c r="H6" i="2"/>
  <c r="I6" i="2"/>
  <c r="J6" i="2"/>
  <c r="K6" i="2"/>
  <c r="L6" i="2"/>
  <c r="M6" i="2"/>
  <c r="N6" i="2"/>
  <c r="O6" i="2"/>
  <c r="P6" i="2"/>
  <c r="Q6" i="2"/>
  <c r="R6" i="2"/>
  <c r="S6" i="2"/>
  <c r="T6" i="2"/>
  <c r="U6" i="2"/>
  <c r="V6" i="2"/>
  <c r="W6" i="2"/>
  <c r="X6" i="2"/>
  <c r="Y6" i="2"/>
  <c r="Z6" i="2"/>
  <c r="AA6" i="2"/>
  <c r="C7" i="2"/>
  <c r="D7" i="2"/>
  <c r="E7" i="2"/>
  <c r="F7" i="2"/>
  <c r="G7" i="2"/>
  <c r="H7" i="2"/>
  <c r="I7" i="2"/>
  <c r="J7" i="2"/>
  <c r="K7" i="2"/>
  <c r="L7" i="2"/>
  <c r="M7" i="2"/>
  <c r="N7" i="2"/>
  <c r="O7" i="2"/>
  <c r="P7" i="2"/>
  <c r="Q7" i="2"/>
  <c r="R7" i="2"/>
  <c r="S7" i="2"/>
  <c r="T7" i="2"/>
  <c r="U7" i="2"/>
  <c r="V7" i="2"/>
  <c r="X7" i="2"/>
  <c r="Y7" i="2"/>
  <c r="Z7" i="2"/>
  <c r="AA7" i="2"/>
  <c r="C8" i="2"/>
  <c r="D8" i="2"/>
  <c r="E8" i="2"/>
  <c r="F8" i="2"/>
  <c r="G8" i="2"/>
  <c r="H8" i="2"/>
  <c r="I8" i="2"/>
  <c r="J8" i="2"/>
  <c r="K8" i="2"/>
  <c r="L8" i="2"/>
  <c r="M8" i="2"/>
  <c r="N8" i="2"/>
  <c r="O8" i="2"/>
  <c r="P8" i="2"/>
  <c r="Q8" i="2"/>
  <c r="R8" i="2"/>
  <c r="S8" i="2"/>
  <c r="T8" i="2"/>
  <c r="U8" i="2"/>
  <c r="V8" i="2"/>
  <c r="W8" i="2"/>
  <c r="X8" i="2"/>
  <c r="Y8" i="2"/>
  <c r="Z8" i="2"/>
  <c r="AA8" i="2"/>
  <c r="C9" i="2"/>
  <c r="D9" i="2"/>
  <c r="E9" i="2"/>
  <c r="F9" i="2"/>
  <c r="G9" i="2"/>
  <c r="H9" i="2"/>
  <c r="I9" i="2"/>
  <c r="J9" i="2"/>
  <c r="K9" i="2"/>
  <c r="L9" i="2"/>
  <c r="M9" i="2"/>
  <c r="N9" i="2"/>
  <c r="O9" i="2"/>
  <c r="P9" i="2"/>
  <c r="Q9" i="2"/>
  <c r="R9" i="2"/>
  <c r="S9" i="2"/>
  <c r="T9" i="2"/>
  <c r="U9" i="2"/>
  <c r="V9" i="2"/>
  <c r="W9" i="2"/>
  <c r="X9" i="2"/>
  <c r="Y9" i="2"/>
  <c r="Z9" i="2"/>
  <c r="AA9" i="2"/>
  <c r="C11" i="2"/>
  <c r="D11" i="2"/>
  <c r="E11" i="2"/>
  <c r="F11" i="2"/>
  <c r="G11" i="2"/>
  <c r="H11" i="2"/>
  <c r="I11" i="2"/>
  <c r="J11" i="2"/>
  <c r="K11" i="2"/>
  <c r="L11" i="2"/>
  <c r="M11" i="2"/>
  <c r="N11" i="2"/>
  <c r="O11" i="2"/>
  <c r="P11" i="2"/>
  <c r="Q11" i="2"/>
  <c r="R11" i="2"/>
  <c r="S11" i="2"/>
  <c r="T11" i="2"/>
  <c r="U11" i="2"/>
  <c r="V11" i="2"/>
  <c r="W11" i="2"/>
  <c r="X11" i="2"/>
  <c r="Y11" i="2"/>
  <c r="Z11" i="2"/>
  <c r="AA11" i="2"/>
  <c r="C12" i="2"/>
  <c r="D12" i="2"/>
  <c r="E12" i="2"/>
  <c r="F12" i="2"/>
  <c r="G12" i="2"/>
  <c r="H12" i="2"/>
  <c r="I12" i="2"/>
  <c r="J12" i="2"/>
  <c r="K12" i="2"/>
  <c r="L12" i="2"/>
  <c r="M12" i="2"/>
  <c r="N12" i="2"/>
  <c r="O12" i="2"/>
  <c r="P12" i="2"/>
  <c r="Q12" i="2"/>
  <c r="R12" i="2"/>
  <c r="S12" i="2"/>
  <c r="T12" i="2"/>
  <c r="U12" i="2"/>
  <c r="V12" i="2"/>
  <c r="W12" i="2"/>
  <c r="X12" i="2"/>
  <c r="Y12" i="2"/>
  <c r="Z12" i="2"/>
  <c r="AA12" i="2"/>
  <c r="B13" i="2"/>
  <c r="D13" i="2"/>
  <c r="E13" i="2"/>
  <c r="F13" i="2"/>
  <c r="G13" i="2"/>
  <c r="H13" i="2"/>
  <c r="I13" i="2"/>
  <c r="J13" i="2"/>
  <c r="K13" i="2"/>
  <c r="L13" i="2"/>
  <c r="M13" i="2"/>
  <c r="N13" i="2"/>
  <c r="O13" i="2"/>
  <c r="P13" i="2"/>
  <c r="Q13" i="2"/>
  <c r="R13" i="2"/>
  <c r="S13" i="2"/>
  <c r="T13" i="2"/>
  <c r="U13" i="2"/>
  <c r="V13" i="2"/>
  <c r="W13" i="2"/>
  <c r="X13" i="2"/>
  <c r="Y13" i="2"/>
  <c r="Z13" i="2"/>
  <c r="AA13" i="2"/>
  <c r="D14" i="2"/>
  <c r="E14" i="2"/>
  <c r="F14" i="2"/>
  <c r="G14" i="2"/>
  <c r="H14" i="2"/>
  <c r="I14" i="2"/>
  <c r="J14" i="2"/>
  <c r="K14" i="2"/>
  <c r="L14" i="2"/>
  <c r="M14" i="2"/>
  <c r="N14" i="2"/>
  <c r="O14" i="2"/>
  <c r="P14" i="2"/>
  <c r="Q14" i="2"/>
  <c r="R14" i="2"/>
  <c r="S14" i="2"/>
  <c r="T14" i="2"/>
  <c r="U14" i="2"/>
  <c r="V14" i="2"/>
  <c r="W14" i="2"/>
  <c r="X14" i="2"/>
  <c r="Y14" i="2"/>
  <c r="Z14" i="2"/>
  <c r="AA14" i="2"/>
  <c r="D15" i="2"/>
  <c r="E15" i="2"/>
  <c r="F15" i="2"/>
  <c r="G15" i="2"/>
  <c r="H15" i="2"/>
  <c r="I15" i="2"/>
  <c r="J15" i="2"/>
  <c r="K15" i="2"/>
  <c r="L15" i="2"/>
  <c r="M15" i="2"/>
  <c r="N15" i="2"/>
  <c r="O15" i="2"/>
  <c r="P15" i="2"/>
  <c r="Q15" i="2"/>
  <c r="R15" i="2"/>
  <c r="S15" i="2"/>
  <c r="T15" i="2"/>
  <c r="U15" i="2"/>
  <c r="V15" i="2"/>
  <c r="W15" i="2"/>
  <c r="X15" i="2"/>
  <c r="Y15" i="2"/>
  <c r="Z15" i="2"/>
  <c r="AA15" i="2"/>
  <c r="T16" i="2"/>
  <c r="U16" i="2"/>
  <c r="V16" i="2"/>
  <c r="S17" i="2"/>
  <c r="T17" i="2"/>
  <c r="U17" i="2"/>
  <c r="V17" i="2"/>
  <c r="S18" i="2"/>
  <c r="T18" i="2"/>
  <c r="U18" i="2"/>
  <c r="V18" i="2"/>
  <c r="C21" i="2"/>
  <c r="D21" i="2"/>
  <c r="E21" i="2"/>
  <c r="F21" i="2"/>
  <c r="G21" i="2"/>
  <c r="H21" i="2"/>
  <c r="I21" i="2"/>
  <c r="J21" i="2"/>
  <c r="K21" i="2"/>
  <c r="L21" i="2"/>
  <c r="M21" i="2"/>
  <c r="N21" i="2"/>
  <c r="O21" i="2"/>
  <c r="P21" i="2"/>
  <c r="Q21" i="2"/>
  <c r="R21" i="2"/>
  <c r="S21" i="2"/>
  <c r="T21" i="2"/>
  <c r="U21" i="2"/>
  <c r="V21" i="2"/>
  <c r="W21" i="2"/>
  <c r="X21" i="2"/>
  <c r="Y21" i="2"/>
  <c r="Z21" i="2"/>
  <c r="AA21" i="2"/>
  <c r="C23" i="2"/>
  <c r="D23" i="2"/>
  <c r="E23" i="2"/>
  <c r="F23" i="2"/>
  <c r="G23" i="2"/>
  <c r="H23" i="2"/>
  <c r="I23" i="2"/>
  <c r="J23" i="2"/>
  <c r="K23" i="2"/>
  <c r="L23" i="2"/>
  <c r="M23" i="2"/>
  <c r="N23" i="2"/>
  <c r="O23" i="2"/>
  <c r="P23" i="2"/>
  <c r="Q23" i="2"/>
  <c r="R23" i="2"/>
  <c r="S23" i="2"/>
  <c r="T23" i="2"/>
  <c r="U23" i="2"/>
  <c r="V23" i="2"/>
  <c r="W23" i="2"/>
  <c r="X23" i="2"/>
  <c r="Y23" i="2"/>
  <c r="Z23" i="2"/>
  <c r="AA23" i="2"/>
  <c r="C24" i="2"/>
  <c r="D24" i="2"/>
  <c r="E24" i="2"/>
  <c r="F24" i="2"/>
  <c r="G24" i="2"/>
  <c r="H24" i="2"/>
  <c r="I24" i="2"/>
  <c r="J24" i="2"/>
  <c r="K24" i="2"/>
  <c r="L24" i="2"/>
  <c r="M24" i="2"/>
  <c r="N24" i="2"/>
  <c r="O24" i="2"/>
  <c r="P24" i="2"/>
  <c r="Q24" i="2"/>
  <c r="R24" i="2"/>
  <c r="S24" i="2"/>
  <c r="T24" i="2"/>
  <c r="U24" i="2"/>
  <c r="V24" i="2"/>
  <c r="W24" i="2"/>
  <c r="X24" i="2"/>
  <c r="Y24" i="2"/>
  <c r="Z24" i="2"/>
  <c r="AA24" i="2"/>
  <c r="C25" i="2"/>
  <c r="D25" i="2"/>
  <c r="E25" i="2"/>
  <c r="F25" i="2"/>
  <c r="G25" i="2"/>
  <c r="H25" i="2"/>
  <c r="I25" i="2"/>
  <c r="J25" i="2"/>
  <c r="K25" i="2"/>
  <c r="L25" i="2"/>
  <c r="M25" i="2"/>
  <c r="N25" i="2"/>
  <c r="O25" i="2"/>
  <c r="P25" i="2"/>
  <c r="Q25" i="2"/>
  <c r="R25" i="2"/>
  <c r="S25" i="2"/>
  <c r="T25" i="2"/>
  <c r="U25" i="2"/>
  <c r="V25" i="2"/>
  <c r="W25" i="2"/>
  <c r="X25" i="2"/>
  <c r="Y25" i="2"/>
  <c r="Z25" i="2"/>
  <c r="AA25" i="2"/>
  <c r="B29" i="2"/>
  <c r="C29" i="2"/>
  <c r="D29" i="2"/>
  <c r="E29" i="2"/>
  <c r="F29" i="2"/>
  <c r="G29" i="2"/>
  <c r="H29" i="2"/>
  <c r="I29" i="2"/>
  <c r="J29" i="2"/>
  <c r="K29" i="2"/>
  <c r="L29" i="2"/>
  <c r="M29" i="2"/>
  <c r="N29" i="2"/>
  <c r="O29" i="2"/>
  <c r="P29" i="2"/>
  <c r="Q29" i="2"/>
  <c r="R29" i="2"/>
  <c r="S29" i="2"/>
  <c r="T29" i="2"/>
  <c r="U29" i="2"/>
  <c r="V29" i="2"/>
  <c r="W29" i="2"/>
  <c r="X29" i="2"/>
  <c r="Y29" i="2"/>
  <c r="Z29" i="2"/>
  <c r="B30" i="2"/>
  <c r="C30" i="2"/>
  <c r="D30" i="2"/>
  <c r="E30" i="2"/>
  <c r="F30" i="2"/>
  <c r="G30" i="2"/>
  <c r="H30" i="2"/>
  <c r="I30" i="2"/>
  <c r="J30" i="2"/>
  <c r="K30" i="2"/>
  <c r="L30" i="2"/>
  <c r="M30" i="2"/>
  <c r="N30" i="2"/>
  <c r="O30" i="2"/>
  <c r="P30" i="2"/>
  <c r="Q30" i="2"/>
  <c r="R30" i="2"/>
  <c r="S30" i="2"/>
  <c r="T30" i="2"/>
  <c r="U30" i="2"/>
  <c r="V30" i="2"/>
  <c r="W30" i="2"/>
  <c r="X30" i="2"/>
  <c r="Y30" i="2"/>
  <c r="Z30" i="2"/>
  <c r="B31" i="2"/>
  <c r="C31" i="2"/>
  <c r="D31" i="2"/>
  <c r="E31" i="2"/>
  <c r="F31" i="2"/>
  <c r="G31" i="2"/>
  <c r="H31" i="2"/>
  <c r="I31" i="2"/>
  <c r="J31" i="2"/>
  <c r="K31" i="2"/>
  <c r="L31" i="2"/>
  <c r="M31" i="2"/>
  <c r="N31" i="2"/>
  <c r="O31" i="2"/>
  <c r="P31" i="2"/>
  <c r="Q31" i="2"/>
  <c r="R31" i="2"/>
  <c r="S31" i="2"/>
  <c r="T31" i="2"/>
  <c r="U31" i="2"/>
  <c r="V31" i="2"/>
  <c r="W31" i="2"/>
  <c r="X31" i="2"/>
  <c r="Y31" i="2"/>
  <c r="Z31" i="2"/>
  <c r="B32" i="2"/>
  <c r="C32" i="2"/>
  <c r="D32" i="2"/>
  <c r="E32" i="2"/>
  <c r="F32" i="2"/>
  <c r="G32" i="2"/>
  <c r="H32" i="2"/>
  <c r="I32" i="2"/>
  <c r="J32" i="2"/>
  <c r="K32" i="2"/>
  <c r="L32" i="2"/>
  <c r="M32" i="2"/>
  <c r="N32" i="2"/>
  <c r="O32" i="2"/>
  <c r="P32" i="2"/>
  <c r="Q32" i="2"/>
  <c r="R32" i="2"/>
  <c r="S32" i="2"/>
  <c r="T32" i="2"/>
  <c r="U32" i="2"/>
  <c r="V32" i="2"/>
  <c r="W32" i="2"/>
  <c r="X32" i="2"/>
  <c r="Y32" i="2"/>
  <c r="Z32" i="2"/>
  <c r="B33" i="2"/>
  <c r="C33" i="2"/>
  <c r="D33" i="2"/>
  <c r="E33" i="2"/>
  <c r="F33" i="2"/>
  <c r="G33" i="2"/>
  <c r="H33" i="2"/>
  <c r="I33" i="2"/>
  <c r="J33" i="2"/>
  <c r="K33" i="2"/>
  <c r="L33" i="2"/>
  <c r="M33" i="2"/>
  <c r="N33" i="2"/>
  <c r="O33" i="2"/>
  <c r="P33" i="2"/>
  <c r="Q33" i="2"/>
  <c r="R33" i="2"/>
  <c r="S33" i="2"/>
  <c r="T33" i="2"/>
  <c r="U33" i="2"/>
  <c r="V33" i="2"/>
  <c r="W33" i="2"/>
  <c r="X33" i="2"/>
  <c r="Y33" i="2"/>
  <c r="Z33" i="2"/>
  <c r="B34" i="2"/>
  <c r="C34" i="2"/>
  <c r="D34" i="2"/>
  <c r="E34" i="2"/>
  <c r="F34" i="2"/>
  <c r="G34" i="2"/>
  <c r="H34" i="2"/>
  <c r="I34" i="2"/>
  <c r="J34" i="2"/>
  <c r="K34" i="2"/>
  <c r="L34" i="2"/>
  <c r="M34" i="2"/>
  <c r="N34" i="2"/>
  <c r="O34" i="2"/>
  <c r="P34" i="2"/>
  <c r="Q34" i="2"/>
  <c r="R34" i="2"/>
  <c r="S34" i="2"/>
  <c r="T34" i="2"/>
  <c r="U34" i="2"/>
  <c r="V34" i="2"/>
  <c r="W34" i="2"/>
  <c r="X34" i="2"/>
  <c r="Y34" i="2"/>
  <c r="Z34" i="2"/>
  <c r="C35" i="2"/>
  <c r="D35" i="2"/>
  <c r="E35" i="2"/>
  <c r="F35" i="2"/>
  <c r="G35" i="2"/>
  <c r="H35" i="2"/>
  <c r="I35" i="2"/>
  <c r="J35" i="2"/>
  <c r="K35" i="2"/>
  <c r="L35" i="2"/>
  <c r="M35" i="2"/>
  <c r="N35" i="2"/>
  <c r="O35" i="2"/>
  <c r="P35" i="2"/>
  <c r="Q35" i="2"/>
  <c r="R35" i="2"/>
  <c r="S35" i="2"/>
  <c r="T35" i="2"/>
  <c r="U35" i="2"/>
  <c r="V35" i="2"/>
  <c r="W35" i="2"/>
  <c r="X35" i="2"/>
  <c r="Y35" i="2"/>
  <c r="Z35" i="2"/>
  <c r="B38" i="2"/>
  <c r="C38" i="2"/>
  <c r="D38" i="2"/>
  <c r="E38" i="2"/>
  <c r="F38" i="2"/>
  <c r="G38" i="2"/>
  <c r="H38" i="2"/>
  <c r="I38" i="2"/>
  <c r="J38" i="2"/>
  <c r="K38" i="2"/>
  <c r="L38" i="2"/>
  <c r="M38" i="2"/>
  <c r="N38" i="2"/>
  <c r="O38" i="2"/>
  <c r="P38" i="2"/>
  <c r="Q38" i="2"/>
  <c r="R38" i="2"/>
  <c r="S38" i="2"/>
  <c r="T38" i="2"/>
  <c r="U38" i="2"/>
  <c r="V38" i="2"/>
  <c r="W38" i="2"/>
  <c r="X38" i="2"/>
  <c r="Y38" i="2"/>
  <c r="Z38" i="2"/>
  <c r="B39" i="2"/>
  <c r="C39" i="2"/>
  <c r="D39" i="2"/>
  <c r="E39" i="2"/>
  <c r="F39" i="2"/>
  <c r="G39" i="2"/>
  <c r="H39" i="2"/>
  <c r="I39" i="2"/>
  <c r="J39" i="2"/>
  <c r="K39" i="2"/>
  <c r="L39" i="2"/>
  <c r="M39" i="2"/>
  <c r="N39" i="2"/>
  <c r="O39" i="2"/>
  <c r="P39" i="2"/>
  <c r="Q39" i="2"/>
  <c r="R39" i="2"/>
  <c r="S39" i="2"/>
  <c r="T39" i="2"/>
  <c r="U39" i="2"/>
  <c r="V39" i="2"/>
  <c r="W39" i="2"/>
  <c r="X39" i="2"/>
  <c r="Y39" i="2"/>
  <c r="Z39" i="2"/>
  <c r="B42" i="2"/>
  <c r="C42" i="2"/>
  <c r="D42" i="2"/>
  <c r="E42" i="2"/>
  <c r="F42" i="2"/>
  <c r="G42" i="2"/>
  <c r="H42" i="2"/>
  <c r="I42" i="2"/>
  <c r="J42" i="2"/>
  <c r="K42" i="2"/>
  <c r="L42" i="2"/>
  <c r="M42" i="2"/>
  <c r="N42" i="2"/>
  <c r="O42" i="2"/>
  <c r="P42" i="2"/>
  <c r="Q42" i="2"/>
  <c r="R42" i="2"/>
  <c r="S42" i="2"/>
  <c r="T42" i="2"/>
  <c r="U42" i="2"/>
  <c r="V42" i="2"/>
  <c r="W42" i="2"/>
  <c r="X42" i="2"/>
  <c r="Y42" i="2"/>
  <c r="Z42" i="2"/>
  <c r="B43" i="2"/>
  <c r="C43" i="2"/>
  <c r="D43" i="2"/>
  <c r="E43" i="2"/>
  <c r="F43" i="2"/>
  <c r="G43" i="2"/>
  <c r="H43" i="2"/>
  <c r="I43" i="2"/>
  <c r="J43" i="2"/>
  <c r="K43" i="2"/>
  <c r="L43" i="2"/>
  <c r="M43" i="2"/>
  <c r="N43" i="2"/>
  <c r="O43" i="2"/>
  <c r="P43" i="2"/>
  <c r="Q43" i="2"/>
  <c r="R43" i="2"/>
  <c r="S43" i="2"/>
  <c r="T43" i="2"/>
  <c r="U43" i="2"/>
  <c r="V43" i="2"/>
  <c r="W43" i="2"/>
  <c r="X43" i="2"/>
  <c r="Y43" i="2"/>
  <c r="Z43" i="2"/>
  <c r="B44" i="2"/>
  <c r="C44" i="2"/>
  <c r="D44" i="2"/>
  <c r="E44" i="2"/>
  <c r="F44" i="2"/>
  <c r="G44" i="2"/>
  <c r="H44" i="2"/>
  <c r="I44" i="2"/>
  <c r="J44" i="2"/>
  <c r="K44" i="2"/>
  <c r="L44" i="2"/>
  <c r="M44" i="2"/>
  <c r="N44" i="2"/>
  <c r="O44" i="2"/>
  <c r="P44" i="2"/>
  <c r="Q44" i="2"/>
  <c r="R44" i="2"/>
  <c r="S44" i="2"/>
  <c r="T44" i="2"/>
  <c r="U44" i="2"/>
  <c r="V44" i="2"/>
  <c r="W44" i="2"/>
  <c r="X44" i="2"/>
  <c r="Y44" i="2"/>
  <c r="Z44" i="2"/>
  <c r="B45" i="2"/>
  <c r="C45" i="2"/>
  <c r="D45" i="2"/>
  <c r="E45" i="2"/>
  <c r="F45" i="2"/>
  <c r="G45" i="2"/>
  <c r="H45" i="2"/>
  <c r="I45" i="2"/>
  <c r="J45" i="2"/>
  <c r="K45" i="2"/>
  <c r="L45" i="2"/>
  <c r="M45" i="2"/>
  <c r="N45" i="2"/>
  <c r="O45" i="2"/>
  <c r="P45" i="2"/>
  <c r="Q45" i="2"/>
  <c r="R45" i="2"/>
  <c r="S45" i="2"/>
  <c r="T45" i="2"/>
  <c r="U45" i="2"/>
  <c r="V45" i="2"/>
  <c r="W45" i="2"/>
  <c r="X45" i="2"/>
  <c r="Y45" i="2"/>
  <c r="Z45" i="2"/>
  <c r="B47" i="2"/>
  <c r="C47" i="2"/>
  <c r="D47" i="2"/>
  <c r="E47" i="2"/>
  <c r="F47" i="2"/>
  <c r="G47" i="2"/>
  <c r="H47" i="2"/>
  <c r="I47" i="2"/>
  <c r="J47" i="2"/>
  <c r="K47" i="2"/>
  <c r="L47" i="2"/>
  <c r="M47" i="2"/>
  <c r="N47" i="2"/>
  <c r="O47" i="2"/>
  <c r="P47" i="2"/>
  <c r="Q47" i="2"/>
  <c r="R47" i="2"/>
  <c r="S47" i="2"/>
  <c r="T47" i="2"/>
  <c r="U47" i="2"/>
  <c r="V47" i="2"/>
  <c r="W47" i="2"/>
  <c r="X47" i="2"/>
  <c r="Y47" i="2"/>
  <c r="Z47" i="2"/>
  <c r="B48" i="2"/>
  <c r="C48" i="2"/>
  <c r="D48" i="2"/>
  <c r="E48" i="2"/>
  <c r="F48" i="2"/>
  <c r="G48" i="2"/>
  <c r="H48" i="2"/>
  <c r="I48" i="2"/>
  <c r="J48" i="2"/>
  <c r="K48" i="2"/>
  <c r="L48" i="2"/>
  <c r="M48" i="2"/>
  <c r="N48" i="2"/>
  <c r="O48" i="2"/>
  <c r="P48" i="2"/>
  <c r="Q48" i="2"/>
  <c r="R48" i="2"/>
  <c r="S48" i="2"/>
  <c r="T48" i="2"/>
  <c r="U48" i="2"/>
  <c r="V48" i="2"/>
  <c r="W48" i="2"/>
  <c r="X48" i="2"/>
  <c r="Y48" i="2"/>
  <c r="Z48" i="2"/>
  <c r="B49" i="2"/>
  <c r="C49" i="2"/>
  <c r="D49" i="2"/>
  <c r="E49" i="2"/>
  <c r="F49" i="2"/>
  <c r="G49" i="2"/>
  <c r="H49" i="2"/>
  <c r="I49" i="2"/>
  <c r="J49" i="2"/>
  <c r="K49" i="2"/>
  <c r="L49" i="2"/>
  <c r="M49" i="2"/>
  <c r="N49" i="2"/>
  <c r="O49" i="2"/>
  <c r="P49" i="2"/>
  <c r="Q49" i="2"/>
  <c r="R49" i="2"/>
  <c r="S49" i="2"/>
  <c r="T49" i="2"/>
  <c r="U49" i="2"/>
  <c r="V49" i="2"/>
  <c r="W49" i="2"/>
  <c r="X49" i="2"/>
  <c r="Y49" i="2"/>
  <c r="Z49" i="2"/>
  <c r="B50" i="2"/>
  <c r="C50" i="2"/>
  <c r="D50" i="2"/>
  <c r="E50" i="2"/>
  <c r="F50" i="2"/>
  <c r="G50" i="2"/>
  <c r="H50" i="2"/>
  <c r="I50" i="2"/>
  <c r="J50" i="2"/>
  <c r="K50" i="2"/>
  <c r="L50" i="2"/>
  <c r="M50" i="2"/>
  <c r="N50" i="2"/>
  <c r="O50" i="2"/>
  <c r="P50" i="2"/>
  <c r="Q50" i="2"/>
  <c r="R50" i="2"/>
  <c r="S50" i="2"/>
  <c r="T50" i="2"/>
  <c r="U50" i="2"/>
  <c r="V50" i="2"/>
  <c r="W50" i="2"/>
  <c r="X50" i="2"/>
  <c r="Y50" i="2"/>
  <c r="Z50" i="2"/>
  <c r="B51" i="2"/>
  <c r="C51" i="2"/>
  <c r="D51" i="2"/>
  <c r="E51" i="2"/>
  <c r="F51" i="2"/>
  <c r="G51" i="2"/>
  <c r="H51" i="2"/>
  <c r="I51" i="2"/>
  <c r="J51" i="2"/>
  <c r="K51" i="2"/>
  <c r="L51" i="2"/>
  <c r="M51" i="2"/>
  <c r="N51" i="2"/>
  <c r="O51" i="2"/>
  <c r="P51" i="2"/>
  <c r="Q51" i="2"/>
  <c r="R51" i="2"/>
  <c r="S51" i="2"/>
  <c r="T51" i="2"/>
  <c r="U51" i="2"/>
  <c r="V51" i="2"/>
  <c r="W51" i="2"/>
  <c r="X51" i="2"/>
  <c r="Y51" i="2"/>
  <c r="Z51" i="2"/>
  <c r="B53" i="2"/>
  <c r="C53" i="2"/>
  <c r="D53" i="2"/>
  <c r="E53" i="2"/>
  <c r="F53" i="2"/>
  <c r="G53" i="2"/>
  <c r="H53" i="2"/>
  <c r="I53" i="2"/>
  <c r="J53" i="2"/>
  <c r="K53" i="2"/>
  <c r="L53" i="2"/>
  <c r="M53" i="2"/>
  <c r="N53" i="2"/>
  <c r="O53" i="2"/>
  <c r="P53" i="2"/>
  <c r="Q53" i="2"/>
  <c r="R53" i="2"/>
  <c r="S53" i="2"/>
  <c r="T53" i="2"/>
  <c r="U53" i="2"/>
  <c r="V53" i="2"/>
  <c r="W53" i="2"/>
  <c r="X53" i="2"/>
  <c r="Y53" i="2"/>
  <c r="Z53" i="2"/>
  <c r="B54" i="2"/>
  <c r="C54" i="2"/>
  <c r="D54" i="2"/>
  <c r="E54" i="2"/>
  <c r="F54" i="2"/>
  <c r="G54" i="2"/>
  <c r="H54" i="2"/>
  <c r="I54" i="2"/>
  <c r="J54" i="2"/>
  <c r="K54" i="2"/>
  <c r="L54" i="2"/>
  <c r="M54" i="2"/>
  <c r="N54" i="2"/>
  <c r="O54" i="2"/>
  <c r="P54" i="2"/>
  <c r="Q54" i="2"/>
  <c r="R54" i="2"/>
  <c r="S54" i="2"/>
  <c r="T54" i="2"/>
  <c r="U54" i="2"/>
  <c r="V54" i="2"/>
  <c r="W54" i="2"/>
  <c r="X54" i="2"/>
  <c r="Y54" i="2"/>
  <c r="Z54" i="2"/>
  <c r="B57" i="2"/>
  <c r="C57" i="2"/>
  <c r="D57" i="2"/>
  <c r="E57" i="2"/>
  <c r="F57" i="2"/>
  <c r="G57" i="2"/>
  <c r="H57" i="2"/>
  <c r="I57" i="2"/>
  <c r="J57" i="2"/>
  <c r="K57" i="2"/>
  <c r="L57" i="2"/>
  <c r="M57" i="2"/>
  <c r="N57" i="2"/>
  <c r="O57" i="2"/>
  <c r="P57" i="2"/>
  <c r="Q57" i="2"/>
  <c r="R57" i="2"/>
  <c r="S57" i="2"/>
  <c r="T57" i="2"/>
  <c r="U57" i="2"/>
  <c r="V57" i="2"/>
  <c r="W57" i="2"/>
  <c r="X57" i="2"/>
  <c r="Y57" i="2"/>
  <c r="Z57" i="2"/>
  <c r="B58" i="2"/>
  <c r="C58" i="2"/>
  <c r="D58" i="2"/>
  <c r="E58" i="2"/>
  <c r="F58" i="2"/>
  <c r="G58" i="2"/>
  <c r="H58" i="2"/>
  <c r="I58" i="2"/>
  <c r="J58" i="2"/>
  <c r="K58" i="2"/>
  <c r="L58" i="2"/>
  <c r="M58" i="2"/>
  <c r="N58" i="2"/>
  <c r="O58" i="2"/>
  <c r="P58" i="2"/>
  <c r="Q58" i="2"/>
  <c r="R58" i="2"/>
  <c r="S58" i="2"/>
  <c r="T58" i="2"/>
  <c r="U58" i="2"/>
  <c r="V58" i="2"/>
  <c r="W58" i="2"/>
  <c r="B59" i="2"/>
  <c r="C59" i="2"/>
  <c r="D59" i="2"/>
  <c r="E59" i="2"/>
  <c r="F59" i="2"/>
  <c r="G59" i="2"/>
  <c r="H59" i="2"/>
  <c r="I59" i="2"/>
  <c r="J59" i="2"/>
  <c r="K59" i="2"/>
  <c r="L59" i="2"/>
  <c r="M59" i="2"/>
  <c r="N59" i="2"/>
  <c r="O59" i="2"/>
  <c r="P59" i="2"/>
  <c r="Q59" i="2"/>
  <c r="R59" i="2"/>
  <c r="S59" i="2"/>
  <c r="T59" i="2"/>
  <c r="U59" i="2"/>
  <c r="V59" i="2"/>
  <c r="W59" i="2"/>
  <c r="X59" i="2"/>
  <c r="Y59" i="2"/>
  <c r="Z59" i="2"/>
  <c r="B60" i="2"/>
  <c r="C60" i="2"/>
  <c r="D60" i="2"/>
  <c r="E60" i="2"/>
  <c r="F60" i="2"/>
  <c r="G60" i="2"/>
  <c r="H60" i="2"/>
  <c r="I60" i="2"/>
  <c r="J60" i="2"/>
  <c r="K60" i="2"/>
  <c r="L60" i="2"/>
  <c r="M60" i="2"/>
  <c r="N60" i="2"/>
  <c r="O60" i="2"/>
  <c r="P60" i="2"/>
  <c r="Q60" i="2"/>
  <c r="R60" i="2"/>
  <c r="S60" i="2"/>
  <c r="T60" i="2"/>
  <c r="U60" i="2"/>
  <c r="V60" i="2"/>
  <c r="W60" i="2"/>
  <c r="X60" i="2"/>
  <c r="Y60" i="2"/>
  <c r="Z60" i="2"/>
  <c r="B64" i="2"/>
  <c r="C64" i="2"/>
  <c r="D64" i="2"/>
  <c r="E64" i="2"/>
  <c r="F64" i="2"/>
  <c r="G64" i="2"/>
  <c r="H64" i="2"/>
  <c r="I64" i="2"/>
  <c r="J64" i="2"/>
  <c r="K64" i="2"/>
  <c r="L64" i="2"/>
  <c r="M64" i="2"/>
  <c r="N64" i="2"/>
  <c r="O64" i="2"/>
  <c r="P64" i="2"/>
  <c r="Q64" i="2"/>
  <c r="R64" i="2"/>
  <c r="S64" i="2"/>
  <c r="T64" i="2"/>
  <c r="U64" i="2"/>
  <c r="V64" i="2"/>
  <c r="W64" i="2"/>
  <c r="B65" i="2"/>
  <c r="C65" i="2"/>
  <c r="D65" i="2"/>
  <c r="E65" i="2"/>
  <c r="F65" i="2"/>
  <c r="G65" i="2"/>
  <c r="H65" i="2"/>
  <c r="I65" i="2"/>
  <c r="J65" i="2"/>
  <c r="K65" i="2"/>
  <c r="L65" i="2"/>
  <c r="M65" i="2"/>
  <c r="N65" i="2"/>
  <c r="O65" i="2"/>
  <c r="P65" i="2"/>
  <c r="Q65" i="2"/>
  <c r="R65" i="2"/>
  <c r="S65" i="2"/>
  <c r="T65" i="2"/>
  <c r="U65" i="2"/>
  <c r="V65" i="2"/>
  <c r="W65" i="2"/>
  <c r="B66" i="2"/>
  <c r="C66" i="2"/>
  <c r="D66" i="2"/>
  <c r="E66" i="2"/>
  <c r="F66" i="2"/>
  <c r="G66" i="2"/>
  <c r="H66" i="2"/>
  <c r="I66" i="2"/>
  <c r="J66" i="2"/>
  <c r="K66" i="2"/>
  <c r="L66" i="2"/>
  <c r="M66" i="2"/>
  <c r="N66" i="2"/>
  <c r="O66" i="2"/>
  <c r="P66" i="2"/>
  <c r="Q66" i="2"/>
  <c r="R66" i="2"/>
  <c r="S66" i="2"/>
  <c r="T66" i="2"/>
  <c r="U66" i="2"/>
  <c r="V66" i="2"/>
  <c r="W66" i="2"/>
  <c r="B67" i="2"/>
  <c r="C67" i="2"/>
  <c r="D67" i="2"/>
  <c r="E67" i="2"/>
  <c r="F67" i="2"/>
  <c r="G67" i="2"/>
  <c r="H67" i="2"/>
  <c r="I67" i="2"/>
  <c r="J67" i="2"/>
  <c r="K67" i="2"/>
  <c r="L67" i="2"/>
  <c r="M67" i="2"/>
  <c r="N67" i="2"/>
  <c r="O67" i="2"/>
  <c r="P67" i="2"/>
  <c r="Q67" i="2"/>
  <c r="R67" i="2"/>
  <c r="S67" i="2"/>
  <c r="T67" i="2"/>
  <c r="U67" i="2"/>
  <c r="V67" i="2"/>
  <c r="W67" i="2"/>
  <c r="B73" i="2"/>
  <c r="C73" i="2"/>
  <c r="D73" i="2"/>
  <c r="E73" i="2"/>
  <c r="F73" i="2"/>
  <c r="G73" i="2"/>
  <c r="H73" i="2"/>
  <c r="I73" i="2"/>
  <c r="J73" i="2"/>
  <c r="K73" i="2"/>
  <c r="L73" i="2"/>
  <c r="M73" i="2"/>
  <c r="N73" i="2"/>
  <c r="O73" i="2"/>
  <c r="P73" i="2"/>
  <c r="Q73" i="2"/>
  <c r="R73" i="2"/>
  <c r="S73" i="2"/>
  <c r="T73" i="2"/>
  <c r="U73" i="2"/>
  <c r="V73" i="2"/>
  <c r="W73" i="2"/>
  <c r="C74" i="2"/>
  <c r="D74" i="2"/>
  <c r="E74" i="2"/>
  <c r="F74" i="2"/>
  <c r="G74" i="2"/>
  <c r="H74" i="2"/>
  <c r="I74" i="2"/>
  <c r="J74" i="2"/>
  <c r="K74" i="2"/>
  <c r="L74" i="2"/>
  <c r="M74" i="2"/>
  <c r="N74" i="2"/>
  <c r="O74" i="2"/>
  <c r="P74" i="2"/>
  <c r="Q74" i="2"/>
  <c r="R74" i="2"/>
  <c r="S74" i="2"/>
  <c r="T74" i="2"/>
  <c r="U74" i="2"/>
  <c r="V74" i="2"/>
  <c r="W74" i="2"/>
  <c r="C76" i="2"/>
  <c r="D76" i="2"/>
  <c r="E76" i="2"/>
  <c r="F76" i="2"/>
  <c r="G76" i="2"/>
  <c r="H76" i="2"/>
  <c r="I76" i="2"/>
  <c r="J76" i="2"/>
  <c r="K76" i="2"/>
  <c r="L76" i="2"/>
  <c r="M76" i="2"/>
  <c r="N76" i="2"/>
  <c r="O76" i="2"/>
  <c r="P76" i="2"/>
  <c r="Q76" i="2"/>
  <c r="R76" i="2"/>
  <c r="S76" i="2"/>
  <c r="T76" i="2"/>
  <c r="U76" i="2"/>
  <c r="V76" i="2"/>
  <c r="W76" i="2"/>
  <c r="E1" i="1"/>
  <c r="A4" i="1"/>
  <c r="B8" i="1"/>
  <c r="C8" i="1"/>
  <c r="M8" i="1"/>
  <c r="N8" i="1"/>
  <c r="P8" i="1"/>
  <c r="B9" i="1"/>
  <c r="C9" i="1"/>
  <c r="L9" i="1"/>
  <c r="M9" i="1"/>
  <c r="P9" i="1"/>
  <c r="M10" i="1"/>
  <c r="N10" i="1"/>
  <c r="P10" i="1"/>
  <c r="C11" i="1"/>
  <c r="I11" i="1"/>
  <c r="L11" i="1"/>
  <c r="N11" i="1"/>
  <c r="P11" i="1"/>
  <c r="I13" i="1"/>
  <c r="U13" i="1"/>
  <c r="M15" i="1"/>
  <c r="N15" i="1"/>
  <c r="O15" i="1"/>
  <c r="C16" i="1"/>
  <c r="I16" i="1"/>
  <c r="M16" i="1"/>
  <c r="N16" i="1"/>
  <c r="O16" i="1"/>
  <c r="U16" i="1"/>
  <c r="M17" i="1"/>
  <c r="N17" i="1"/>
  <c r="O17" i="1"/>
  <c r="G18" i="1"/>
  <c r="I18" i="1"/>
  <c r="P20" i="1"/>
  <c r="F21" i="1"/>
  <c r="P21" i="1"/>
  <c r="F22" i="1"/>
  <c r="N22" i="1"/>
  <c r="P22" i="1"/>
  <c r="N23" i="1"/>
  <c r="P23" i="1"/>
  <c r="U23" i="1"/>
  <c r="P24" i="1"/>
  <c r="U24" i="1"/>
  <c r="N25" i="1"/>
  <c r="P25" i="1"/>
  <c r="U25" i="1"/>
  <c r="U26" i="1"/>
  <c r="I27" i="1"/>
  <c r="I28" i="1"/>
  <c r="U28" i="1"/>
  <c r="U29" i="1"/>
  <c r="U30" i="1"/>
  <c r="C31" i="1"/>
  <c r="N32" i="1"/>
  <c r="P32" i="1"/>
  <c r="P33" i="1"/>
  <c r="P35" i="1"/>
  <c r="P36" i="1"/>
  <c r="F37" i="1"/>
  <c r="G37" i="1"/>
  <c r="H37" i="1"/>
  <c r="I37" i="1"/>
  <c r="P37" i="1"/>
  <c r="F38" i="1"/>
  <c r="G38" i="1"/>
  <c r="H38" i="1"/>
  <c r="I38" i="1"/>
  <c r="N38" i="1"/>
  <c r="P38" i="1"/>
  <c r="F39" i="1"/>
  <c r="G39" i="1"/>
  <c r="H39" i="1"/>
  <c r="I39" i="1"/>
  <c r="F40" i="1"/>
  <c r="G40" i="1"/>
  <c r="H40" i="1"/>
  <c r="I40" i="1"/>
  <c r="I41" i="1"/>
  <c r="F43" i="1"/>
  <c r="G43" i="1"/>
  <c r="H43" i="1"/>
  <c r="I43" i="1"/>
  <c r="C44" i="1"/>
  <c r="L45" i="1"/>
  <c r="N45" i="1"/>
  <c r="P45" i="1"/>
  <c r="I47" i="1"/>
  <c r="L47" i="1"/>
  <c r="N47" i="1"/>
  <c r="P47" i="1"/>
  <c r="L48" i="1"/>
  <c r="N48" i="1"/>
  <c r="P48" i="1"/>
  <c r="L49" i="1"/>
  <c r="N49" i="1"/>
  <c r="P49" i="1"/>
  <c r="C50" i="1"/>
  <c r="C51" i="1"/>
  <c r="H51" i="1"/>
  <c r="L51" i="1"/>
  <c r="N51" i="1"/>
  <c r="P51" i="1"/>
  <c r="L52" i="1"/>
  <c r="N52" i="1"/>
  <c r="P52" i="1"/>
  <c r="L53" i="1"/>
  <c r="N53" i="1"/>
  <c r="P53" i="1"/>
  <c r="C54" i="1"/>
  <c r="L54" i="1"/>
  <c r="N54" i="1"/>
  <c r="P54" i="1"/>
  <c r="C55" i="1"/>
  <c r="L55" i="1"/>
  <c r="N55" i="1"/>
  <c r="P55" i="1"/>
  <c r="L56" i="1"/>
  <c r="C58" i="1"/>
  <c r="C59" i="1"/>
  <c r="G59" i="1"/>
  <c r="I59" i="1"/>
  <c r="N59" i="1"/>
  <c r="G60" i="1"/>
  <c r="I60" i="1"/>
  <c r="C61" i="1"/>
  <c r="G61" i="1"/>
  <c r="I61" i="1"/>
  <c r="N64" i="1"/>
  <c r="P64" i="1"/>
  <c r="G65" i="1"/>
  <c r="I65" i="1"/>
  <c r="G66" i="1"/>
  <c r="I66" i="1"/>
  <c r="G67" i="1"/>
  <c r="I67" i="1"/>
  <c r="P67" i="1"/>
  <c r="F86" i="1"/>
  <c r="F87" i="1"/>
  <c r="F88" i="1"/>
  <c r="E92" i="1"/>
  <c r="F92" i="1"/>
  <c r="G92" i="1"/>
  <c r="H92" i="1"/>
  <c r="A1" i="5"/>
  <c r="C3" i="5"/>
  <c r="D3" i="5"/>
  <c r="E3" i="5"/>
  <c r="F3" i="5"/>
  <c r="G3" i="5"/>
  <c r="H3" i="5"/>
  <c r="I3" i="5"/>
  <c r="J3" i="5"/>
  <c r="K3" i="5"/>
  <c r="L3" i="5"/>
  <c r="M3" i="5"/>
  <c r="N3" i="5"/>
  <c r="O3" i="5"/>
  <c r="P3" i="5"/>
  <c r="Q3" i="5"/>
  <c r="R3" i="5"/>
  <c r="S3" i="5"/>
  <c r="T3" i="5"/>
  <c r="U3" i="5"/>
  <c r="V3" i="5"/>
  <c r="W3" i="5"/>
  <c r="X3" i="5"/>
  <c r="Y3" i="5"/>
  <c r="Z3" i="5"/>
  <c r="AA3" i="5"/>
  <c r="C4" i="5"/>
  <c r="D4" i="5"/>
  <c r="E4" i="5"/>
  <c r="F4" i="5"/>
  <c r="G4" i="5"/>
  <c r="H4" i="5"/>
  <c r="I4" i="5"/>
  <c r="J4" i="5"/>
  <c r="K4" i="5"/>
  <c r="L4" i="5"/>
  <c r="M4" i="5"/>
  <c r="N4" i="5"/>
  <c r="O4" i="5"/>
  <c r="P4" i="5"/>
  <c r="Q4" i="5"/>
  <c r="R4" i="5"/>
  <c r="S4" i="5"/>
  <c r="T4" i="5"/>
  <c r="U4" i="5"/>
  <c r="V4" i="5"/>
  <c r="W4" i="5"/>
  <c r="X4" i="5"/>
  <c r="Y4" i="5"/>
  <c r="Z4" i="5"/>
  <c r="AA4" i="5"/>
  <c r="B6" i="5"/>
  <c r="C6" i="5"/>
  <c r="D6" i="5"/>
  <c r="E6" i="5"/>
  <c r="F6" i="5"/>
  <c r="G6" i="5"/>
  <c r="H6" i="5"/>
  <c r="I6" i="5"/>
  <c r="J6" i="5"/>
  <c r="K6" i="5"/>
  <c r="L6" i="5"/>
  <c r="M6" i="5"/>
  <c r="N6" i="5"/>
  <c r="O6" i="5"/>
  <c r="P6" i="5"/>
  <c r="Q6" i="5"/>
  <c r="R6" i="5"/>
  <c r="S6" i="5"/>
  <c r="T6" i="5"/>
  <c r="U6" i="5"/>
  <c r="V6" i="5"/>
  <c r="W6" i="5"/>
  <c r="X6" i="5"/>
  <c r="Y6" i="5"/>
  <c r="Z6" i="5"/>
  <c r="AA6" i="5"/>
  <c r="B7" i="5"/>
  <c r="C7" i="5"/>
  <c r="D7" i="5"/>
  <c r="E7" i="5"/>
  <c r="F7" i="5"/>
  <c r="G7" i="5"/>
  <c r="H7" i="5"/>
  <c r="I7" i="5"/>
  <c r="J7" i="5"/>
  <c r="K7" i="5"/>
  <c r="L7" i="5"/>
  <c r="M7" i="5"/>
  <c r="N7" i="5"/>
  <c r="O7" i="5"/>
  <c r="P7" i="5"/>
  <c r="Q7" i="5"/>
  <c r="R7" i="5"/>
  <c r="S7" i="5"/>
  <c r="T7" i="5"/>
  <c r="U7" i="5"/>
  <c r="V7" i="5"/>
  <c r="W7" i="5"/>
  <c r="X7" i="5"/>
  <c r="Y7" i="5"/>
  <c r="Z7" i="5"/>
  <c r="AA7" i="5"/>
  <c r="C8" i="5"/>
  <c r="D8" i="5"/>
  <c r="E8" i="5"/>
  <c r="F8" i="5"/>
  <c r="G8" i="5"/>
  <c r="H8" i="5"/>
  <c r="I8" i="5"/>
  <c r="J8" i="5"/>
  <c r="K8" i="5"/>
  <c r="L8" i="5"/>
  <c r="M8" i="5"/>
  <c r="N8" i="5"/>
  <c r="O8" i="5"/>
  <c r="P8" i="5"/>
  <c r="Q8" i="5"/>
  <c r="R8" i="5"/>
  <c r="S8" i="5"/>
  <c r="T8" i="5"/>
  <c r="U8" i="5"/>
  <c r="V8" i="5"/>
  <c r="W8" i="5"/>
  <c r="X8" i="5"/>
  <c r="Y8" i="5"/>
  <c r="Z8" i="5"/>
  <c r="AA8" i="5"/>
  <c r="C9" i="5"/>
  <c r="D9" i="5"/>
  <c r="E9" i="5"/>
  <c r="F9" i="5"/>
  <c r="G9" i="5"/>
  <c r="H9" i="5"/>
  <c r="I9" i="5"/>
  <c r="J9" i="5"/>
  <c r="K9" i="5"/>
  <c r="L9" i="5"/>
  <c r="M9" i="5"/>
  <c r="N9" i="5"/>
  <c r="O9" i="5"/>
  <c r="P9" i="5"/>
  <c r="Q9" i="5"/>
  <c r="R9" i="5"/>
  <c r="S9" i="5"/>
  <c r="T9" i="5"/>
  <c r="U9" i="5"/>
  <c r="V9" i="5"/>
  <c r="W9" i="5"/>
  <c r="X9" i="5"/>
  <c r="Y9" i="5"/>
  <c r="Z9" i="5"/>
  <c r="AA9" i="5"/>
  <c r="B11" i="5"/>
  <c r="C11" i="5"/>
  <c r="D11" i="5"/>
  <c r="E11" i="5"/>
  <c r="F11" i="5"/>
  <c r="G11" i="5"/>
  <c r="H11" i="5"/>
  <c r="I11" i="5"/>
  <c r="J11" i="5"/>
  <c r="K11" i="5"/>
  <c r="L11" i="5"/>
  <c r="M11" i="5"/>
  <c r="N11" i="5"/>
  <c r="O11" i="5"/>
  <c r="P11" i="5"/>
  <c r="Q11" i="5"/>
  <c r="R11" i="5"/>
  <c r="S11" i="5"/>
  <c r="T11" i="5"/>
  <c r="U11" i="5"/>
  <c r="V11" i="5"/>
  <c r="W11" i="5"/>
  <c r="X11" i="5"/>
  <c r="Y11" i="5"/>
  <c r="Z11" i="5"/>
  <c r="AA11" i="5"/>
  <c r="C12" i="5"/>
  <c r="D12" i="5"/>
  <c r="E12" i="5"/>
  <c r="F12" i="5"/>
  <c r="G12" i="5"/>
  <c r="H12" i="5"/>
  <c r="I12" i="5"/>
  <c r="J12" i="5"/>
  <c r="K12" i="5"/>
  <c r="L12" i="5"/>
  <c r="M12" i="5"/>
  <c r="N12" i="5"/>
  <c r="O12" i="5"/>
  <c r="P12" i="5"/>
  <c r="Q12" i="5"/>
  <c r="R12" i="5"/>
  <c r="S12" i="5"/>
  <c r="T12" i="5"/>
  <c r="U12" i="5"/>
  <c r="V12" i="5"/>
  <c r="W12" i="5"/>
  <c r="X12" i="5"/>
  <c r="Y12" i="5"/>
  <c r="Z12" i="5"/>
  <c r="AA12" i="5"/>
  <c r="C13" i="5"/>
  <c r="D13" i="5"/>
  <c r="E13" i="5"/>
  <c r="F13" i="5"/>
  <c r="G13" i="5"/>
  <c r="H13" i="5"/>
  <c r="I13" i="5"/>
  <c r="J13" i="5"/>
  <c r="K13" i="5"/>
  <c r="L13" i="5"/>
  <c r="M13" i="5"/>
  <c r="N13" i="5"/>
  <c r="O13" i="5"/>
  <c r="P13" i="5"/>
  <c r="Q13" i="5"/>
  <c r="R13" i="5"/>
  <c r="S13" i="5"/>
  <c r="T13" i="5"/>
  <c r="U13" i="5"/>
  <c r="V13" i="5"/>
  <c r="W13" i="5"/>
  <c r="X13" i="5"/>
  <c r="Y13" i="5"/>
  <c r="Z13" i="5"/>
  <c r="AA13" i="5"/>
  <c r="B15" i="5"/>
  <c r="C15" i="5"/>
  <c r="D15" i="5"/>
  <c r="E15" i="5"/>
  <c r="F15" i="5"/>
  <c r="G15" i="5"/>
  <c r="H15" i="5"/>
  <c r="I15" i="5"/>
  <c r="J15" i="5"/>
  <c r="K15" i="5"/>
  <c r="L15" i="5"/>
  <c r="M15" i="5"/>
  <c r="N15" i="5"/>
  <c r="O15" i="5"/>
  <c r="P15" i="5"/>
  <c r="Q15" i="5"/>
  <c r="R15" i="5"/>
  <c r="S15" i="5"/>
  <c r="T15" i="5"/>
  <c r="U15" i="5"/>
  <c r="V15" i="5"/>
  <c r="W15" i="5"/>
  <c r="X15" i="5"/>
  <c r="Y15" i="5"/>
  <c r="Z15" i="5"/>
  <c r="AA15" i="5"/>
  <c r="C16" i="5"/>
  <c r="D16" i="5"/>
  <c r="E16" i="5"/>
  <c r="F16" i="5"/>
  <c r="G16" i="5"/>
  <c r="H16" i="5"/>
  <c r="I16" i="5"/>
  <c r="J16" i="5"/>
  <c r="K16" i="5"/>
  <c r="L16" i="5"/>
  <c r="M16" i="5"/>
  <c r="N16" i="5"/>
  <c r="O16" i="5"/>
  <c r="P16" i="5"/>
  <c r="Q16" i="5"/>
  <c r="R16" i="5"/>
  <c r="S16" i="5"/>
  <c r="T16" i="5"/>
  <c r="U16" i="5"/>
  <c r="V16" i="5"/>
  <c r="W16" i="5"/>
  <c r="X16" i="5"/>
  <c r="Y16" i="5"/>
  <c r="Z16" i="5"/>
  <c r="AA16" i="5"/>
  <c r="C17" i="5"/>
  <c r="D17" i="5"/>
  <c r="E17" i="5"/>
  <c r="F17" i="5"/>
  <c r="G17" i="5"/>
  <c r="H17" i="5"/>
  <c r="I17" i="5"/>
  <c r="J17" i="5"/>
  <c r="K17" i="5"/>
  <c r="L17" i="5"/>
  <c r="M17" i="5"/>
  <c r="N17" i="5"/>
  <c r="O17" i="5"/>
  <c r="P17" i="5"/>
  <c r="Q17" i="5"/>
  <c r="R17" i="5"/>
  <c r="S17" i="5"/>
  <c r="T17" i="5"/>
  <c r="U17" i="5"/>
  <c r="V17" i="5"/>
  <c r="W17" i="5"/>
  <c r="X17" i="5"/>
  <c r="Y17" i="5"/>
  <c r="Z17" i="5"/>
  <c r="AA17" i="5"/>
  <c r="B19" i="5"/>
  <c r="E19" i="5"/>
  <c r="C23" i="5"/>
  <c r="D23" i="5"/>
  <c r="E23" i="5"/>
  <c r="F23" i="5"/>
  <c r="G23" i="5"/>
  <c r="H23" i="5"/>
  <c r="I23" i="5"/>
  <c r="J23" i="5"/>
  <c r="K23" i="5"/>
  <c r="L23" i="5"/>
  <c r="M23" i="5"/>
  <c r="N23" i="5"/>
  <c r="O23" i="5"/>
  <c r="P23" i="5"/>
  <c r="Q23" i="5"/>
  <c r="R23" i="5"/>
  <c r="S23" i="5"/>
  <c r="T23" i="5"/>
  <c r="U23" i="5"/>
  <c r="V23" i="5"/>
  <c r="W23" i="5"/>
  <c r="X23" i="5"/>
  <c r="Y23" i="5"/>
  <c r="Z23" i="5"/>
  <c r="AA23" i="5"/>
  <c r="C24" i="5"/>
  <c r="D24" i="5"/>
  <c r="E24" i="5"/>
  <c r="F24" i="5"/>
  <c r="G24" i="5"/>
  <c r="H24" i="5"/>
  <c r="I24" i="5"/>
  <c r="J24" i="5"/>
  <c r="K24" i="5"/>
  <c r="L24" i="5"/>
  <c r="M24" i="5"/>
  <c r="N24" i="5"/>
  <c r="O24" i="5"/>
  <c r="P24" i="5"/>
  <c r="Q24" i="5"/>
  <c r="R24" i="5"/>
  <c r="S24" i="5"/>
  <c r="T24" i="5"/>
  <c r="U24" i="5"/>
  <c r="V24" i="5"/>
  <c r="W24" i="5"/>
  <c r="X24" i="5"/>
  <c r="Y24" i="5"/>
  <c r="Z24" i="5"/>
  <c r="AA24" i="5"/>
  <c r="B25" i="5"/>
  <c r="C25" i="5"/>
  <c r="D25" i="5"/>
  <c r="E25" i="5"/>
  <c r="F25" i="5"/>
  <c r="G25" i="5"/>
  <c r="H25" i="5"/>
  <c r="I25" i="5"/>
  <c r="J25" i="5"/>
  <c r="K25" i="5"/>
  <c r="L25" i="5"/>
  <c r="M25" i="5"/>
  <c r="N25" i="5"/>
  <c r="O25" i="5"/>
  <c r="P25" i="5"/>
  <c r="Q25" i="5"/>
  <c r="R25" i="5"/>
  <c r="S25" i="5"/>
  <c r="T25" i="5"/>
  <c r="U25" i="5"/>
  <c r="V25" i="5"/>
  <c r="W25" i="5"/>
  <c r="X25" i="5"/>
  <c r="Y25" i="5"/>
  <c r="Z25" i="5"/>
  <c r="AA25" i="5"/>
  <c r="B26" i="5"/>
  <c r="C26" i="5"/>
  <c r="D26" i="5"/>
  <c r="E26" i="5"/>
  <c r="F26" i="5"/>
  <c r="G26" i="5"/>
  <c r="H26" i="5"/>
  <c r="I26" i="5"/>
  <c r="J26" i="5"/>
  <c r="K26" i="5"/>
  <c r="L26" i="5"/>
  <c r="M26" i="5"/>
  <c r="N26" i="5"/>
  <c r="O26" i="5"/>
  <c r="P26" i="5"/>
  <c r="Q26" i="5"/>
  <c r="R26" i="5"/>
  <c r="S26" i="5"/>
  <c r="T26" i="5"/>
  <c r="U26" i="5"/>
  <c r="V26" i="5"/>
  <c r="W26" i="5"/>
  <c r="X26" i="5"/>
  <c r="Y26" i="5"/>
  <c r="Z26" i="5"/>
  <c r="AA26" i="5"/>
  <c r="A27" i="5"/>
  <c r="C27" i="5"/>
  <c r="D27" i="5"/>
  <c r="E27" i="5"/>
  <c r="F27" i="5"/>
  <c r="G27" i="5"/>
  <c r="H27" i="5"/>
  <c r="I27" i="5"/>
  <c r="J27" i="5"/>
  <c r="K27" i="5"/>
  <c r="L27" i="5"/>
  <c r="M27" i="5"/>
  <c r="N27" i="5"/>
  <c r="O27" i="5"/>
  <c r="P27" i="5"/>
  <c r="Q27" i="5"/>
  <c r="R27" i="5"/>
  <c r="S27" i="5"/>
  <c r="T27" i="5"/>
  <c r="U27" i="5"/>
  <c r="V27" i="5"/>
  <c r="W27" i="5"/>
  <c r="X27" i="5"/>
  <c r="Y27" i="5"/>
  <c r="Z27" i="5"/>
  <c r="AA27" i="5"/>
  <c r="B29" i="5"/>
  <c r="C30" i="5"/>
  <c r="D30" i="5"/>
  <c r="E30" i="5"/>
  <c r="F30" i="5"/>
  <c r="G30" i="5"/>
  <c r="H30" i="5"/>
  <c r="I30" i="5"/>
  <c r="J30" i="5"/>
  <c r="K30" i="5"/>
  <c r="L30" i="5"/>
  <c r="M30" i="5"/>
  <c r="N30" i="5"/>
  <c r="O30" i="5"/>
  <c r="P30" i="5"/>
  <c r="Q30" i="5"/>
  <c r="R30" i="5"/>
  <c r="S30" i="5"/>
  <c r="T30" i="5"/>
  <c r="U30" i="5"/>
  <c r="V30" i="5"/>
  <c r="W30" i="5"/>
  <c r="X30" i="5"/>
  <c r="Y30" i="5"/>
  <c r="Z30" i="5"/>
  <c r="AA30" i="5"/>
  <c r="C31" i="5"/>
  <c r="D31" i="5"/>
  <c r="E31" i="5"/>
  <c r="F31" i="5"/>
  <c r="G31" i="5"/>
  <c r="H31" i="5"/>
  <c r="I31" i="5"/>
  <c r="J31" i="5"/>
  <c r="K31" i="5"/>
  <c r="L31" i="5"/>
  <c r="M31" i="5"/>
  <c r="N31" i="5"/>
  <c r="O31" i="5"/>
  <c r="P31" i="5"/>
  <c r="Q31" i="5"/>
  <c r="R31" i="5"/>
  <c r="S31" i="5"/>
  <c r="T31" i="5"/>
  <c r="U31" i="5"/>
  <c r="V31" i="5"/>
  <c r="W31" i="5"/>
  <c r="X31" i="5"/>
  <c r="Y31" i="5"/>
  <c r="Z31" i="5"/>
  <c r="AA31" i="5"/>
  <c r="C32" i="5"/>
  <c r="D32" i="5"/>
  <c r="E32" i="5"/>
  <c r="F32" i="5"/>
  <c r="G32" i="5"/>
  <c r="H32" i="5"/>
  <c r="I32" i="5"/>
  <c r="J32" i="5"/>
  <c r="K32" i="5"/>
  <c r="L32" i="5"/>
  <c r="M32" i="5"/>
  <c r="N32" i="5"/>
  <c r="O32" i="5"/>
  <c r="P32" i="5"/>
  <c r="Q32" i="5"/>
  <c r="R32" i="5"/>
  <c r="S32" i="5"/>
  <c r="T32" i="5"/>
  <c r="U32" i="5"/>
  <c r="V32" i="5"/>
  <c r="W32" i="5"/>
  <c r="X32" i="5"/>
  <c r="Y32" i="5"/>
  <c r="Z32" i="5"/>
  <c r="AA32" i="5"/>
  <c r="B34" i="5"/>
  <c r="C35" i="5"/>
  <c r="D35" i="5"/>
  <c r="E35" i="5"/>
  <c r="F35" i="5"/>
  <c r="G35" i="5"/>
  <c r="H35" i="5"/>
  <c r="I35" i="5"/>
  <c r="J35" i="5"/>
  <c r="K35" i="5"/>
  <c r="L35" i="5"/>
  <c r="M35" i="5"/>
  <c r="N35" i="5"/>
  <c r="O35" i="5"/>
  <c r="P35" i="5"/>
  <c r="Q35" i="5"/>
  <c r="R35" i="5"/>
  <c r="S35" i="5"/>
  <c r="T35" i="5"/>
  <c r="U35" i="5"/>
  <c r="V35" i="5"/>
  <c r="W35" i="5"/>
  <c r="X35" i="5"/>
  <c r="Y35" i="5"/>
  <c r="Z35" i="5"/>
  <c r="AA35" i="5"/>
  <c r="C36" i="5"/>
  <c r="D36" i="5"/>
  <c r="E36" i="5"/>
  <c r="F36" i="5"/>
  <c r="G36" i="5"/>
  <c r="H36" i="5"/>
  <c r="I36" i="5"/>
  <c r="J36" i="5"/>
  <c r="K36" i="5"/>
  <c r="L36" i="5"/>
  <c r="M36" i="5"/>
  <c r="N36" i="5"/>
  <c r="O36" i="5"/>
  <c r="P36" i="5"/>
  <c r="Q36" i="5"/>
  <c r="R36" i="5"/>
  <c r="S36" i="5"/>
  <c r="T36" i="5"/>
  <c r="U36" i="5"/>
  <c r="V36" i="5"/>
  <c r="W36" i="5"/>
  <c r="X36" i="5"/>
  <c r="Y36" i="5"/>
  <c r="Z36" i="5"/>
  <c r="AA36" i="5"/>
  <c r="C37" i="5"/>
  <c r="D37" i="5"/>
  <c r="E37" i="5"/>
  <c r="F37" i="5"/>
  <c r="G37" i="5"/>
  <c r="H37" i="5"/>
  <c r="I37" i="5"/>
  <c r="J37" i="5"/>
  <c r="K37" i="5"/>
  <c r="L37" i="5"/>
  <c r="M37" i="5"/>
  <c r="N37" i="5"/>
  <c r="O37" i="5"/>
  <c r="P37" i="5"/>
  <c r="Q37" i="5"/>
  <c r="R37" i="5"/>
  <c r="S37" i="5"/>
  <c r="T37" i="5"/>
  <c r="U37" i="5"/>
  <c r="V37" i="5"/>
  <c r="W37" i="5"/>
  <c r="X37" i="5"/>
  <c r="Y37" i="5"/>
  <c r="Z37" i="5"/>
  <c r="AA37" i="5"/>
  <c r="B39" i="5"/>
  <c r="C40" i="5"/>
  <c r="D40" i="5"/>
  <c r="E40" i="5"/>
  <c r="F40" i="5"/>
  <c r="G40" i="5"/>
  <c r="H40" i="5"/>
  <c r="I40" i="5"/>
  <c r="J40" i="5"/>
  <c r="K40" i="5"/>
  <c r="L40" i="5"/>
  <c r="M40" i="5"/>
  <c r="N40" i="5"/>
  <c r="O40" i="5"/>
  <c r="P40" i="5"/>
  <c r="Q40" i="5"/>
  <c r="R40" i="5"/>
  <c r="S40" i="5"/>
  <c r="T40" i="5"/>
  <c r="U40" i="5"/>
  <c r="V40" i="5"/>
  <c r="W40" i="5"/>
  <c r="X40" i="5"/>
  <c r="Y40" i="5"/>
  <c r="Z40" i="5"/>
  <c r="AA40" i="5"/>
  <c r="C41" i="5"/>
  <c r="D41" i="5"/>
  <c r="E41" i="5"/>
  <c r="F41" i="5"/>
  <c r="G41" i="5"/>
  <c r="H41" i="5"/>
  <c r="I41" i="5"/>
  <c r="J41" i="5"/>
  <c r="K41" i="5"/>
  <c r="L41" i="5"/>
  <c r="M41" i="5"/>
  <c r="N41" i="5"/>
  <c r="O41" i="5"/>
  <c r="P41" i="5"/>
  <c r="Q41" i="5"/>
  <c r="R41" i="5"/>
  <c r="S41" i="5"/>
  <c r="T41" i="5"/>
  <c r="U41" i="5"/>
  <c r="V41" i="5"/>
  <c r="W41" i="5"/>
  <c r="X41" i="5"/>
  <c r="Y41" i="5"/>
  <c r="Z41" i="5"/>
  <c r="AA41" i="5"/>
  <c r="C42" i="5"/>
  <c r="D42" i="5"/>
  <c r="E42" i="5"/>
  <c r="F42" i="5"/>
  <c r="G42" i="5"/>
  <c r="H42" i="5"/>
  <c r="I42" i="5"/>
  <c r="J42" i="5"/>
  <c r="K42" i="5"/>
  <c r="L42" i="5"/>
  <c r="M42" i="5"/>
  <c r="N42" i="5"/>
  <c r="O42" i="5"/>
  <c r="P42" i="5"/>
  <c r="Q42" i="5"/>
  <c r="R42" i="5"/>
  <c r="S42" i="5"/>
  <c r="T42" i="5"/>
  <c r="U42" i="5"/>
  <c r="V42" i="5"/>
  <c r="W42" i="5"/>
  <c r="X42" i="5"/>
  <c r="Y42" i="5"/>
  <c r="Z42" i="5"/>
  <c r="AA42" i="5"/>
  <c r="A1" i="8"/>
  <c r="E3" i="8"/>
  <c r="F3" i="8"/>
  <c r="G3" i="8"/>
  <c r="H3" i="8"/>
  <c r="I3" i="8"/>
  <c r="J3" i="8"/>
  <c r="K3" i="8"/>
  <c r="L3" i="8"/>
  <c r="M3" i="8"/>
  <c r="N3" i="8"/>
  <c r="O3" i="8"/>
  <c r="P3" i="8"/>
  <c r="Q3" i="8"/>
  <c r="R3" i="8"/>
  <c r="S3" i="8"/>
  <c r="T3" i="8"/>
  <c r="U3" i="8"/>
  <c r="V3" i="8"/>
  <c r="W3" i="8"/>
  <c r="X3" i="8"/>
  <c r="Y3" i="8"/>
  <c r="Z3" i="8"/>
  <c r="AA3" i="8"/>
  <c r="AB3" i="8"/>
  <c r="D4" i="8"/>
  <c r="E4" i="8"/>
  <c r="F4" i="8"/>
  <c r="G4" i="8"/>
  <c r="H4" i="8"/>
  <c r="I4" i="8"/>
  <c r="J4" i="8"/>
  <c r="K4" i="8"/>
  <c r="L4" i="8"/>
  <c r="M4" i="8"/>
  <c r="N4" i="8"/>
  <c r="O4" i="8"/>
  <c r="P4" i="8"/>
  <c r="Q4" i="8"/>
  <c r="R4" i="8"/>
  <c r="S4" i="8"/>
  <c r="T4" i="8"/>
  <c r="U4" i="8"/>
  <c r="V4" i="8"/>
  <c r="W4" i="8"/>
  <c r="X4" i="8"/>
  <c r="Y4" i="8"/>
  <c r="Z4" i="8"/>
  <c r="AA4" i="8"/>
  <c r="AB4" i="8"/>
  <c r="D8" i="8"/>
  <c r="E8" i="8"/>
  <c r="F8" i="8"/>
  <c r="G8" i="8"/>
  <c r="H8" i="8"/>
  <c r="I8" i="8"/>
  <c r="J8" i="8"/>
  <c r="K8" i="8"/>
  <c r="L8" i="8"/>
  <c r="M8" i="8"/>
  <c r="N8" i="8"/>
  <c r="O8" i="8"/>
  <c r="P8" i="8"/>
  <c r="Q8" i="8"/>
  <c r="R8" i="8"/>
  <c r="S8" i="8"/>
  <c r="T8" i="8"/>
  <c r="U8" i="8"/>
  <c r="V8" i="8"/>
  <c r="W8" i="8"/>
  <c r="X8" i="8"/>
  <c r="Y8" i="8"/>
  <c r="Z8" i="8"/>
  <c r="AA8" i="8"/>
  <c r="AB8" i="8"/>
  <c r="D9" i="8"/>
  <c r="E9" i="8"/>
  <c r="F9" i="8"/>
  <c r="G9" i="8"/>
  <c r="H9" i="8"/>
  <c r="I9" i="8"/>
  <c r="J9" i="8"/>
  <c r="K9" i="8"/>
  <c r="L9" i="8"/>
  <c r="M9" i="8"/>
  <c r="N9" i="8"/>
  <c r="O9" i="8"/>
  <c r="P9" i="8"/>
  <c r="Q9" i="8"/>
  <c r="R9" i="8"/>
  <c r="S9" i="8"/>
  <c r="T9" i="8"/>
  <c r="U9" i="8"/>
  <c r="V9" i="8"/>
  <c r="W9" i="8"/>
  <c r="X9" i="8"/>
  <c r="Y9" i="8"/>
  <c r="Z9" i="8"/>
  <c r="AA9" i="8"/>
  <c r="AB9" i="8"/>
  <c r="D10" i="8"/>
  <c r="E10" i="8"/>
  <c r="F10" i="8"/>
  <c r="G10" i="8"/>
  <c r="H10" i="8"/>
  <c r="I10" i="8"/>
  <c r="J10" i="8"/>
  <c r="K10" i="8"/>
  <c r="L10" i="8"/>
  <c r="M10" i="8"/>
  <c r="N10" i="8"/>
  <c r="O10" i="8"/>
  <c r="P10" i="8"/>
  <c r="Q10" i="8"/>
  <c r="R10" i="8"/>
  <c r="S10" i="8"/>
  <c r="T10" i="8"/>
  <c r="U10" i="8"/>
  <c r="V10" i="8"/>
  <c r="W10" i="8"/>
  <c r="X10" i="8"/>
  <c r="Y10" i="8"/>
  <c r="Z10" i="8"/>
  <c r="AA10" i="8"/>
  <c r="AB10" i="8"/>
  <c r="D13" i="8"/>
  <c r="E13" i="8"/>
  <c r="F13" i="8"/>
  <c r="G13" i="8"/>
  <c r="H13" i="8"/>
  <c r="I13" i="8"/>
  <c r="J13" i="8"/>
  <c r="K13" i="8"/>
  <c r="L13" i="8"/>
  <c r="M13" i="8"/>
  <c r="N13" i="8"/>
  <c r="O13" i="8"/>
  <c r="P13" i="8"/>
  <c r="Q13" i="8"/>
  <c r="R13" i="8"/>
  <c r="S13" i="8"/>
  <c r="T13" i="8"/>
  <c r="U13" i="8"/>
  <c r="V13" i="8"/>
  <c r="W13" i="8"/>
  <c r="X13" i="8"/>
  <c r="Y13" i="8"/>
  <c r="Z13" i="8"/>
  <c r="AA13" i="8"/>
  <c r="AB13" i="8"/>
  <c r="D14" i="8"/>
  <c r="E14" i="8"/>
  <c r="F14" i="8"/>
  <c r="G14" i="8"/>
  <c r="H14" i="8"/>
  <c r="I14" i="8"/>
  <c r="J14" i="8"/>
  <c r="K14" i="8"/>
  <c r="L14" i="8"/>
  <c r="M14" i="8"/>
  <c r="N14" i="8"/>
  <c r="O14" i="8"/>
  <c r="P14" i="8"/>
  <c r="Q14" i="8"/>
  <c r="R14" i="8"/>
  <c r="S14" i="8"/>
  <c r="T14" i="8"/>
  <c r="U14" i="8"/>
  <c r="V14" i="8"/>
  <c r="W14" i="8"/>
  <c r="X14" i="8"/>
  <c r="Y14" i="8"/>
  <c r="Z14" i="8"/>
  <c r="AA14" i="8"/>
  <c r="AB14" i="8"/>
  <c r="D15" i="8"/>
  <c r="E15" i="8"/>
  <c r="F15" i="8"/>
  <c r="G15" i="8"/>
  <c r="H15" i="8"/>
  <c r="I15" i="8"/>
  <c r="J15" i="8"/>
  <c r="K15" i="8"/>
  <c r="L15" i="8"/>
  <c r="M15" i="8"/>
  <c r="N15" i="8"/>
  <c r="O15" i="8"/>
  <c r="P15" i="8"/>
  <c r="Q15" i="8"/>
  <c r="R15" i="8"/>
  <c r="S15" i="8"/>
  <c r="T15" i="8"/>
  <c r="U15" i="8"/>
  <c r="V15" i="8"/>
  <c r="W15" i="8"/>
  <c r="X15" i="8"/>
  <c r="Y15" i="8"/>
  <c r="Z15" i="8"/>
  <c r="AA15" i="8"/>
  <c r="AB15" i="8"/>
  <c r="D18" i="8"/>
  <c r="E18" i="8"/>
  <c r="F18" i="8"/>
  <c r="G18" i="8"/>
  <c r="H18" i="8"/>
  <c r="I18" i="8"/>
  <c r="J18" i="8"/>
  <c r="K18" i="8"/>
  <c r="L18" i="8"/>
  <c r="M18" i="8"/>
  <c r="N18" i="8"/>
  <c r="O18" i="8"/>
  <c r="P18" i="8"/>
  <c r="Q18" i="8"/>
  <c r="R18" i="8"/>
  <c r="S18" i="8"/>
  <c r="T18" i="8"/>
  <c r="U18" i="8"/>
  <c r="V18" i="8"/>
  <c r="W18" i="8"/>
  <c r="X18" i="8"/>
  <c r="Y18" i="8"/>
  <c r="Z18" i="8"/>
  <c r="AA18" i="8"/>
  <c r="AB18" i="8"/>
  <c r="D19" i="8"/>
  <c r="E19" i="8"/>
  <c r="F19" i="8"/>
  <c r="G19" i="8"/>
  <c r="H19" i="8"/>
  <c r="I19" i="8"/>
  <c r="J19" i="8"/>
  <c r="K19" i="8"/>
  <c r="L19" i="8"/>
  <c r="M19" i="8"/>
  <c r="N19" i="8"/>
  <c r="O19" i="8"/>
  <c r="P19" i="8"/>
  <c r="Q19" i="8"/>
  <c r="R19" i="8"/>
  <c r="S19" i="8"/>
  <c r="T19" i="8"/>
  <c r="U19" i="8"/>
  <c r="V19" i="8"/>
  <c r="W19" i="8"/>
  <c r="X19" i="8"/>
  <c r="Y19" i="8"/>
  <c r="Z19" i="8"/>
  <c r="AA19" i="8"/>
  <c r="AB19" i="8"/>
  <c r="D20" i="8"/>
  <c r="E20" i="8"/>
  <c r="F20" i="8"/>
  <c r="G20" i="8"/>
  <c r="H20" i="8"/>
  <c r="I20" i="8"/>
  <c r="J20" i="8"/>
  <c r="K20" i="8"/>
  <c r="L20" i="8"/>
  <c r="M20" i="8"/>
  <c r="N20" i="8"/>
  <c r="O20" i="8"/>
  <c r="P20" i="8"/>
  <c r="Q20" i="8"/>
  <c r="R20" i="8"/>
  <c r="S20" i="8"/>
  <c r="T20" i="8"/>
  <c r="U20" i="8"/>
  <c r="V20" i="8"/>
  <c r="W20" i="8"/>
  <c r="X20" i="8"/>
  <c r="Y20" i="8"/>
  <c r="Z20" i="8"/>
  <c r="AA20" i="8"/>
  <c r="AB20" i="8"/>
  <c r="D21" i="8"/>
  <c r="E21" i="8"/>
  <c r="F21" i="8"/>
  <c r="G21" i="8"/>
  <c r="H21" i="8"/>
  <c r="I21" i="8"/>
  <c r="J21" i="8"/>
  <c r="K21" i="8"/>
  <c r="L21" i="8"/>
  <c r="M21" i="8"/>
  <c r="N21" i="8"/>
  <c r="O21" i="8"/>
  <c r="P21" i="8"/>
  <c r="Q21" i="8"/>
  <c r="R21" i="8"/>
  <c r="S21" i="8"/>
  <c r="T21" i="8"/>
  <c r="U21" i="8"/>
  <c r="V21" i="8"/>
  <c r="W21" i="8"/>
  <c r="X21" i="8"/>
  <c r="Y21" i="8"/>
  <c r="Z21" i="8"/>
  <c r="AA21" i="8"/>
  <c r="AB21" i="8"/>
  <c r="D23" i="8"/>
  <c r="E23" i="8"/>
  <c r="F23" i="8"/>
  <c r="G23" i="8"/>
  <c r="H23" i="8"/>
  <c r="I23" i="8"/>
  <c r="J23" i="8"/>
  <c r="K23" i="8"/>
  <c r="L23" i="8"/>
  <c r="M23" i="8"/>
  <c r="N23" i="8"/>
  <c r="O23" i="8"/>
  <c r="P23" i="8"/>
  <c r="Q23" i="8"/>
  <c r="R23" i="8"/>
  <c r="S23" i="8"/>
  <c r="T23" i="8"/>
  <c r="U23" i="8"/>
  <c r="V23" i="8"/>
  <c r="W23" i="8"/>
  <c r="X23" i="8"/>
  <c r="Y23" i="8"/>
  <c r="Z23" i="8"/>
  <c r="AA23" i="8"/>
  <c r="AB23" i="8"/>
  <c r="D24" i="8"/>
  <c r="E24" i="8"/>
  <c r="F24" i="8"/>
  <c r="G24" i="8"/>
  <c r="H24" i="8"/>
  <c r="I24" i="8"/>
  <c r="J24" i="8"/>
  <c r="K24" i="8"/>
  <c r="L24" i="8"/>
  <c r="M24" i="8"/>
  <c r="N24" i="8"/>
  <c r="O24" i="8"/>
  <c r="P24" i="8"/>
  <c r="Q24" i="8"/>
  <c r="R24" i="8"/>
  <c r="S24" i="8"/>
  <c r="T24" i="8"/>
  <c r="U24" i="8"/>
  <c r="V24" i="8"/>
  <c r="W24" i="8"/>
  <c r="X24" i="8"/>
  <c r="Y24" i="8"/>
  <c r="Z24" i="8"/>
  <c r="AA24" i="8"/>
  <c r="AB24" i="8"/>
  <c r="D25" i="8"/>
  <c r="E25" i="8"/>
  <c r="F25" i="8"/>
  <c r="G25" i="8"/>
  <c r="H25" i="8"/>
  <c r="I25" i="8"/>
  <c r="J25" i="8"/>
  <c r="K25" i="8"/>
  <c r="L25" i="8"/>
  <c r="M25" i="8"/>
  <c r="N25" i="8"/>
  <c r="O25" i="8"/>
  <c r="P25" i="8"/>
  <c r="Q25" i="8"/>
  <c r="R25" i="8"/>
  <c r="S25" i="8"/>
  <c r="T25" i="8"/>
  <c r="U25" i="8"/>
  <c r="V25" i="8"/>
  <c r="W25" i="8"/>
  <c r="X25" i="8"/>
  <c r="Y25" i="8"/>
  <c r="Z25" i="8"/>
  <c r="AA25" i="8"/>
  <c r="AB25" i="8"/>
  <c r="D27" i="8"/>
  <c r="E27" i="8"/>
  <c r="F27" i="8"/>
  <c r="G27" i="8"/>
  <c r="H27" i="8"/>
  <c r="I27" i="8"/>
  <c r="J27" i="8"/>
  <c r="K27" i="8"/>
  <c r="L27" i="8"/>
  <c r="M27" i="8"/>
  <c r="N27" i="8"/>
  <c r="O27" i="8"/>
  <c r="P27" i="8"/>
  <c r="Q27" i="8"/>
  <c r="R27" i="8"/>
  <c r="S27" i="8"/>
  <c r="T27" i="8"/>
  <c r="U27" i="8"/>
  <c r="V27" i="8"/>
  <c r="W27" i="8"/>
  <c r="X27" i="8"/>
  <c r="Y27" i="8"/>
  <c r="Z27" i="8"/>
  <c r="AA27" i="8"/>
  <c r="AB27" i="8"/>
  <c r="D28" i="8"/>
  <c r="E28" i="8"/>
  <c r="F28" i="8"/>
  <c r="G28" i="8"/>
  <c r="H28" i="8"/>
  <c r="I28" i="8"/>
  <c r="J28" i="8"/>
  <c r="K28" i="8"/>
  <c r="L28" i="8"/>
  <c r="M28" i="8"/>
  <c r="N28" i="8"/>
  <c r="O28" i="8"/>
  <c r="P28" i="8"/>
  <c r="Q28" i="8"/>
  <c r="R28" i="8"/>
  <c r="S28" i="8"/>
  <c r="T28" i="8"/>
  <c r="U28" i="8"/>
  <c r="V28" i="8"/>
  <c r="W28" i="8"/>
  <c r="X28" i="8"/>
  <c r="Y28" i="8"/>
  <c r="Z28" i="8"/>
  <c r="AA28" i="8"/>
  <c r="AB28" i="8"/>
  <c r="X29" i="8"/>
  <c r="D30" i="8"/>
  <c r="E30" i="8"/>
  <c r="F30" i="8"/>
  <c r="G30" i="8"/>
  <c r="H30" i="8"/>
  <c r="I30" i="8"/>
  <c r="J30" i="8"/>
  <c r="K30" i="8"/>
  <c r="L30" i="8"/>
  <c r="M30" i="8"/>
  <c r="N30" i="8"/>
  <c r="O30" i="8"/>
  <c r="P30" i="8"/>
  <c r="Q30" i="8"/>
  <c r="R30" i="8"/>
  <c r="S30" i="8"/>
  <c r="T30" i="8"/>
  <c r="U30" i="8"/>
  <c r="V30" i="8"/>
  <c r="W30" i="8"/>
  <c r="X30" i="8"/>
  <c r="Y30" i="8"/>
  <c r="Z30" i="8"/>
  <c r="AA30" i="8"/>
  <c r="AB30" i="8"/>
  <c r="D31" i="8"/>
  <c r="E31" i="8"/>
  <c r="F31" i="8"/>
  <c r="G31" i="8"/>
  <c r="H31" i="8"/>
  <c r="I31" i="8"/>
  <c r="J31" i="8"/>
  <c r="K31" i="8"/>
  <c r="L31" i="8"/>
  <c r="M31" i="8"/>
  <c r="N31" i="8"/>
  <c r="O31" i="8"/>
  <c r="P31" i="8"/>
  <c r="Q31" i="8"/>
  <c r="R31" i="8"/>
  <c r="S31" i="8"/>
  <c r="T31" i="8"/>
  <c r="U31" i="8"/>
  <c r="V31" i="8"/>
  <c r="W31" i="8"/>
  <c r="X31" i="8"/>
  <c r="Y31" i="8"/>
  <c r="Z31" i="8"/>
  <c r="AA31" i="8"/>
  <c r="AB31" i="8"/>
  <c r="D33" i="8"/>
  <c r="E33" i="8"/>
  <c r="F33" i="8"/>
  <c r="G33" i="8"/>
  <c r="H33" i="8"/>
  <c r="I33" i="8"/>
  <c r="J33" i="8"/>
  <c r="K33" i="8"/>
  <c r="L33" i="8"/>
  <c r="M33" i="8"/>
  <c r="N33" i="8"/>
  <c r="O33" i="8"/>
  <c r="P33" i="8"/>
  <c r="Q33" i="8"/>
  <c r="R33" i="8"/>
  <c r="S33" i="8"/>
  <c r="T33" i="8"/>
  <c r="U33" i="8"/>
  <c r="V33" i="8"/>
  <c r="W33" i="8"/>
  <c r="X33" i="8"/>
  <c r="Y33" i="8"/>
  <c r="Z33" i="8"/>
  <c r="AA33" i="8"/>
  <c r="AB33" i="8"/>
  <c r="D38" i="8"/>
  <c r="E38" i="8"/>
  <c r="F38" i="8"/>
  <c r="G38" i="8"/>
  <c r="H38" i="8"/>
  <c r="I38" i="8"/>
  <c r="J38" i="8"/>
  <c r="K38" i="8"/>
  <c r="L38" i="8"/>
  <c r="M38" i="8"/>
  <c r="N38" i="8"/>
  <c r="O38" i="8"/>
  <c r="P38" i="8"/>
  <c r="Q38" i="8"/>
  <c r="R38" i="8"/>
  <c r="S38" i="8"/>
  <c r="T38" i="8"/>
  <c r="U38" i="8"/>
  <c r="V38" i="8"/>
  <c r="W38" i="8"/>
  <c r="X38" i="8"/>
  <c r="Y38" i="8"/>
  <c r="Z38" i="8"/>
  <c r="AA38" i="8"/>
  <c r="AB38" i="8"/>
  <c r="D39" i="8"/>
  <c r="E39" i="8"/>
  <c r="F39" i="8"/>
  <c r="G39" i="8"/>
  <c r="H39" i="8"/>
  <c r="I39" i="8"/>
  <c r="J39" i="8"/>
  <c r="K39" i="8"/>
  <c r="L39" i="8"/>
  <c r="M39" i="8"/>
  <c r="N39" i="8"/>
  <c r="O39" i="8"/>
  <c r="P39" i="8"/>
  <c r="Q39" i="8"/>
  <c r="R39" i="8"/>
  <c r="S39" i="8"/>
  <c r="T39" i="8"/>
  <c r="U39" i="8"/>
  <c r="V39" i="8"/>
  <c r="W39" i="8"/>
  <c r="X39" i="8"/>
  <c r="Y39" i="8"/>
  <c r="Z39" i="8"/>
  <c r="AA39" i="8"/>
  <c r="AB39" i="8"/>
  <c r="D40" i="8"/>
  <c r="E40" i="8"/>
  <c r="F40" i="8"/>
  <c r="G40" i="8"/>
  <c r="H40" i="8"/>
  <c r="I40" i="8"/>
  <c r="J40" i="8"/>
  <c r="K40" i="8"/>
  <c r="L40" i="8"/>
  <c r="M40" i="8"/>
  <c r="N40" i="8"/>
  <c r="O40" i="8"/>
  <c r="P40" i="8"/>
  <c r="Q40" i="8"/>
  <c r="R40" i="8"/>
  <c r="S40" i="8"/>
  <c r="T40" i="8"/>
  <c r="U40" i="8"/>
  <c r="V40" i="8"/>
  <c r="W40" i="8"/>
  <c r="X40" i="8"/>
  <c r="Y40" i="8"/>
  <c r="Z40" i="8"/>
  <c r="AA40" i="8"/>
  <c r="AB40" i="8"/>
  <c r="D41" i="8"/>
  <c r="E41" i="8"/>
  <c r="F41" i="8"/>
  <c r="G41" i="8"/>
  <c r="H41" i="8"/>
  <c r="I41" i="8"/>
  <c r="J41" i="8"/>
  <c r="K41" i="8"/>
  <c r="L41" i="8"/>
  <c r="M41" i="8"/>
  <c r="N41" i="8"/>
  <c r="O41" i="8"/>
  <c r="P41" i="8"/>
  <c r="Q41" i="8"/>
  <c r="R41" i="8"/>
  <c r="S41" i="8"/>
  <c r="T41" i="8"/>
  <c r="U41" i="8"/>
  <c r="V41" i="8"/>
  <c r="W41" i="8"/>
  <c r="X41" i="8"/>
  <c r="Y41" i="8"/>
  <c r="Z41" i="8"/>
  <c r="AA41" i="8"/>
  <c r="AB41" i="8"/>
  <c r="D42" i="8"/>
  <c r="E42" i="8"/>
  <c r="F42" i="8"/>
  <c r="G42" i="8"/>
  <c r="H42" i="8"/>
  <c r="I42" i="8"/>
  <c r="J42" i="8"/>
  <c r="K42" i="8"/>
  <c r="L42" i="8"/>
  <c r="M42" i="8"/>
  <c r="N42" i="8"/>
  <c r="O42" i="8"/>
  <c r="P42" i="8"/>
  <c r="Q42" i="8"/>
  <c r="R42" i="8"/>
  <c r="S42" i="8"/>
  <c r="T42" i="8"/>
  <c r="U42" i="8"/>
  <c r="V42" i="8"/>
  <c r="W42" i="8"/>
  <c r="X42" i="8"/>
  <c r="Y42" i="8"/>
  <c r="Z42" i="8"/>
  <c r="AA42" i="8"/>
  <c r="AB42" i="8"/>
  <c r="D43" i="8"/>
  <c r="E43" i="8"/>
  <c r="F43" i="8"/>
  <c r="G43" i="8"/>
  <c r="H43" i="8"/>
  <c r="I43" i="8"/>
  <c r="J43" i="8"/>
  <c r="K43" i="8"/>
  <c r="L43" i="8"/>
  <c r="M43" i="8"/>
  <c r="N43" i="8"/>
  <c r="O43" i="8"/>
  <c r="P43" i="8"/>
  <c r="Q43" i="8"/>
  <c r="R43" i="8"/>
  <c r="S43" i="8"/>
  <c r="T43" i="8"/>
  <c r="U43" i="8"/>
  <c r="V43" i="8"/>
  <c r="W43" i="8"/>
  <c r="X43" i="8"/>
  <c r="Y43" i="8"/>
  <c r="Z43" i="8"/>
  <c r="AA43" i="8"/>
  <c r="AB43" i="8"/>
  <c r="D45" i="8"/>
  <c r="E45" i="8"/>
  <c r="F45" i="8"/>
  <c r="G45" i="8"/>
  <c r="H45" i="8"/>
  <c r="I45" i="8"/>
  <c r="J45" i="8"/>
  <c r="K45" i="8"/>
  <c r="L45" i="8"/>
  <c r="M45" i="8"/>
  <c r="N45" i="8"/>
  <c r="O45" i="8"/>
  <c r="P45" i="8"/>
  <c r="Q45" i="8"/>
  <c r="R45" i="8"/>
  <c r="S45" i="8"/>
  <c r="T45" i="8"/>
  <c r="U45" i="8"/>
  <c r="V45" i="8"/>
  <c r="W45" i="8"/>
  <c r="X45" i="8"/>
  <c r="Y45" i="8"/>
  <c r="Z45" i="8"/>
  <c r="AA45" i="8"/>
  <c r="AB45" i="8"/>
  <c r="D46" i="8"/>
  <c r="E46" i="8"/>
  <c r="F46" i="8"/>
  <c r="G46" i="8"/>
  <c r="H46" i="8"/>
  <c r="I46" i="8"/>
  <c r="J46" i="8"/>
  <c r="K46" i="8"/>
  <c r="L46" i="8"/>
  <c r="M46" i="8"/>
  <c r="N46" i="8"/>
  <c r="O46" i="8"/>
  <c r="P46" i="8"/>
  <c r="Q46" i="8"/>
  <c r="R46" i="8"/>
  <c r="S46" i="8"/>
  <c r="T46" i="8"/>
  <c r="U46" i="8"/>
  <c r="V46" i="8"/>
  <c r="W46" i="8"/>
  <c r="X46" i="8"/>
  <c r="Y46" i="8"/>
  <c r="Z46" i="8"/>
  <c r="AA46" i="8"/>
  <c r="AB46" i="8"/>
  <c r="D48" i="8"/>
  <c r="E48" i="8"/>
  <c r="F48" i="8"/>
  <c r="G48" i="8"/>
  <c r="H48" i="8"/>
  <c r="I48" i="8"/>
  <c r="J48" i="8"/>
  <c r="K48" i="8"/>
  <c r="L48" i="8"/>
  <c r="M48" i="8"/>
  <c r="N48" i="8"/>
  <c r="O48" i="8"/>
  <c r="P48" i="8"/>
  <c r="Q48" i="8"/>
  <c r="R48" i="8"/>
  <c r="S48" i="8"/>
  <c r="T48" i="8"/>
  <c r="U48" i="8"/>
  <c r="V48" i="8"/>
  <c r="W48" i="8"/>
  <c r="X48" i="8"/>
  <c r="Y48" i="8"/>
  <c r="Z48" i="8"/>
  <c r="AA48" i="8"/>
  <c r="AB48" i="8"/>
  <c r="D49" i="8"/>
  <c r="E49" i="8"/>
  <c r="F49" i="8"/>
  <c r="G49" i="8"/>
  <c r="H49" i="8"/>
  <c r="I49" i="8"/>
  <c r="J49" i="8"/>
  <c r="K49" i="8"/>
  <c r="L49" i="8"/>
  <c r="M49" i="8"/>
  <c r="N49" i="8"/>
  <c r="O49" i="8"/>
  <c r="P49" i="8"/>
  <c r="Q49" i="8"/>
  <c r="R49" i="8"/>
  <c r="S49" i="8"/>
  <c r="T49" i="8"/>
  <c r="U49" i="8"/>
  <c r="V49" i="8"/>
  <c r="W49" i="8"/>
  <c r="X49" i="8"/>
  <c r="Y49" i="8"/>
  <c r="Z49" i="8"/>
  <c r="AA49" i="8"/>
  <c r="AB49" i="8"/>
  <c r="D51" i="8"/>
  <c r="E51" i="8"/>
  <c r="F51" i="8"/>
  <c r="G51" i="8"/>
  <c r="H51" i="8"/>
  <c r="I51" i="8"/>
  <c r="J51" i="8"/>
  <c r="K51" i="8"/>
  <c r="L51" i="8"/>
  <c r="M51" i="8"/>
  <c r="N51" i="8"/>
  <c r="O51" i="8"/>
  <c r="P51" i="8"/>
  <c r="Q51" i="8"/>
  <c r="R51" i="8"/>
  <c r="S51" i="8"/>
  <c r="T51" i="8"/>
  <c r="U51" i="8"/>
  <c r="V51" i="8"/>
  <c r="W51" i="8"/>
  <c r="X51" i="8"/>
  <c r="Y51" i="8"/>
  <c r="Z51" i="8"/>
  <c r="AA51" i="8"/>
  <c r="AB51" i="8"/>
  <c r="D55" i="8"/>
  <c r="E55" i="8"/>
  <c r="F55" i="8"/>
  <c r="G55" i="8"/>
  <c r="H55" i="8"/>
  <c r="I55" i="8"/>
  <c r="J55" i="8"/>
  <c r="K55" i="8"/>
  <c r="L55" i="8"/>
  <c r="M55" i="8"/>
  <c r="N55" i="8"/>
  <c r="O55" i="8"/>
  <c r="P55" i="8"/>
  <c r="Q55" i="8"/>
  <c r="R55" i="8"/>
  <c r="S55" i="8"/>
  <c r="T55" i="8"/>
  <c r="U55" i="8"/>
  <c r="V55" i="8"/>
  <c r="W55" i="8"/>
  <c r="X55" i="8"/>
  <c r="Y55" i="8"/>
  <c r="Z55" i="8"/>
  <c r="AA55" i="8"/>
  <c r="AB55" i="8"/>
  <c r="D56" i="8"/>
  <c r="E56" i="8"/>
  <c r="F56" i="8"/>
  <c r="G56" i="8"/>
  <c r="H56" i="8"/>
  <c r="I56" i="8"/>
  <c r="J56" i="8"/>
  <c r="K56" i="8"/>
  <c r="L56" i="8"/>
  <c r="M56" i="8"/>
  <c r="N56" i="8"/>
  <c r="O56" i="8"/>
  <c r="P56" i="8"/>
  <c r="Q56" i="8"/>
  <c r="R56" i="8"/>
  <c r="S56" i="8"/>
  <c r="T56" i="8"/>
  <c r="U56" i="8"/>
  <c r="V56" i="8"/>
  <c r="W56" i="8"/>
  <c r="X56" i="8"/>
  <c r="Y56" i="8"/>
  <c r="Z56" i="8"/>
  <c r="AA56" i="8"/>
  <c r="AB56" i="8"/>
  <c r="D57" i="8"/>
  <c r="E57" i="8"/>
  <c r="F57" i="8"/>
  <c r="G57" i="8"/>
  <c r="H57" i="8"/>
  <c r="I57" i="8"/>
  <c r="J57" i="8"/>
  <c r="K57" i="8"/>
  <c r="L57" i="8"/>
  <c r="M57" i="8"/>
  <c r="N57" i="8"/>
  <c r="O57" i="8"/>
  <c r="P57" i="8"/>
  <c r="Q57" i="8"/>
  <c r="R57" i="8"/>
  <c r="S57" i="8"/>
  <c r="T57" i="8"/>
  <c r="U57" i="8"/>
  <c r="V57" i="8"/>
  <c r="W57" i="8"/>
  <c r="X57" i="8"/>
  <c r="Y57" i="8"/>
  <c r="Z57" i="8"/>
  <c r="AA57" i="8"/>
  <c r="AB57" i="8"/>
  <c r="D59" i="8"/>
  <c r="E59" i="8"/>
  <c r="F59" i="8"/>
  <c r="G59" i="8"/>
  <c r="H59" i="8"/>
  <c r="I59" i="8"/>
  <c r="J59" i="8"/>
  <c r="K59" i="8"/>
  <c r="L59" i="8"/>
  <c r="M59" i="8"/>
  <c r="N59" i="8"/>
  <c r="O59" i="8"/>
  <c r="P59" i="8"/>
  <c r="Q59" i="8"/>
  <c r="R59" i="8"/>
  <c r="S59" i="8"/>
  <c r="T59" i="8"/>
  <c r="U59" i="8"/>
  <c r="V59" i="8"/>
  <c r="W59" i="8"/>
  <c r="X59" i="8"/>
  <c r="Y59" i="8"/>
  <c r="Z59" i="8"/>
  <c r="AA59" i="8"/>
  <c r="AB59" i="8"/>
  <c r="D63" i="8"/>
  <c r="E63" i="8"/>
  <c r="F63" i="8"/>
  <c r="G63" i="8"/>
  <c r="H63" i="8"/>
  <c r="I63" i="8"/>
  <c r="J63" i="8"/>
  <c r="K63" i="8"/>
  <c r="L63" i="8"/>
  <c r="M63" i="8"/>
  <c r="N63" i="8"/>
  <c r="O63" i="8"/>
  <c r="P63" i="8"/>
  <c r="Q63" i="8"/>
  <c r="R63" i="8"/>
  <c r="S63" i="8"/>
  <c r="T63" i="8"/>
  <c r="U63" i="8"/>
  <c r="V63" i="8"/>
  <c r="W63" i="8"/>
  <c r="X63" i="8"/>
  <c r="Y63" i="8"/>
  <c r="Z63" i="8"/>
  <c r="AA63" i="8"/>
  <c r="AB63" i="8"/>
  <c r="D64" i="8"/>
  <c r="E64" i="8"/>
  <c r="F64" i="8"/>
  <c r="G64" i="8"/>
  <c r="H64" i="8"/>
  <c r="I64" i="8"/>
  <c r="J64" i="8"/>
  <c r="K64" i="8"/>
  <c r="L64" i="8"/>
  <c r="M64" i="8"/>
  <c r="N64" i="8"/>
  <c r="O64" i="8"/>
  <c r="P64" i="8"/>
  <c r="Q64" i="8"/>
  <c r="R64" i="8"/>
  <c r="S64" i="8"/>
  <c r="T64" i="8"/>
  <c r="U64" i="8"/>
  <c r="V64" i="8"/>
  <c r="W64" i="8"/>
  <c r="X64" i="8"/>
  <c r="Y64" i="8"/>
  <c r="Z64" i="8"/>
  <c r="AA64" i="8"/>
  <c r="AB64" i="8"/>
  <c r="D66" i="8"/>
  <c r="E66" i="8"/>
  <c r="F66" i="8"/>
  <c r="G66" i="8"/>
  <c r="H66" i="8"/>
  <c r="I66" i="8"/>
  <c r="J66" i="8"/>
  <c r="K66" i="8"/>
  <c r="L66" i="8"/>
  <c r="M66" i="8"/>
  <c r="N66" i="8"/>
  <c r="O66" i="8"/>
  <c r="P66" i="8"/>
  <c r="Q66" i="8"/>
  <c r="R66" i="8"/>
  <c r="S66" i="8"/>
  <c r="T66" i="8"/>
  <c r="U66" i="8"/>
  <c r="V66" i="8"/>
  <c r="W66" i="8"/>
  <c r="X66" i="8"/>
  <c r="Y66" i="8"/>
  <c r="Z66" i="8"/>
  <c r="AA66" i="8"/>
  <c r="AB66" i="8"/>
  <c r="A1" i="15"/>
  <c r="B6" i="15"/>
  <c r="B7" i="15"/>
  <c r="D8" i="15"/>
  <c r="E8" i="15"/>
  <c r="F8" i="15"/>
  <c r="G8" i="15"/>
  <c r="H8" i="15"/>
  <c r="I8" i="15"/>
  <c r="J8" i="15"/>
  <c r="K8" i="15"/>
  <c r="L8" i="15"/>
  <c r="M8" i="15"/>
  <c r="N8" i="15"/>
  <c r="O8" i="15"/>
  <c r="P8" i="15"/>
  <c r="Q8" i="15"/>
  <c r="R8" i="15"/>
  <c r="S8" i="15"/>
  <c r="T8" i="15"/>
  <c r="U8" i="15"/>
  <c r="V8" i="15"/>
  <c r="W8" i="15"/>
  <c r="X8" i="15"/>
  <c r="B9" i="15"/>
  <c r="D9" i="15"/>
  <c r="E9" i="15"/>
  <c r="F9" i="15"/>
  <c r="G9" i="15"/>
  <c r="H9" i="15"/>
  <c r="I9" i="15"/>
  <c r="J9" i="15"/>
  <c r="K9" i="15"/>
  <c r="L9" i="15"/>
  <c r="M9" i="15"/>
  <c r="N9" i="15"/>
  <c r="O9" i="15"/>
  <c r="P9" i="15"/>
  <c r="Q9" i="15"/>
  <c r="R9" i="15"/>
  <c r="S9" i="15"/>
  <c r="T9" i="15"/>
  <c r="U9" i="15"/>
  <c r="V9" i="15"/>
  <c r="W9" i="15"/>
  <c r="X9" i="15"/>
  <c r="B10" i="15"/>
  <c r="D10" i="15"/>
  <c r="E10" i="15"/>
  <c r="F10" i="15"/>
  <c r="G10" i="15"/>
  <c r="H10" i="15"/>
  <c r="I10" i="15"/>
  <c r="J10" i="15"/>
  <c r="K10" i="15"/>
  <c r="L10" i="15"/>
  <c r="M10" i="15"/>
  <c r="N10" i="15"/>
  <c r="O10" i="15"/>
  <c r="P10" i="15"/>
  <c r="Q10" i="15"/>
  <c r="R10" i="15"/>
  <c r="S10" i="15"/>
  <c r="T10" i="15"/>
  <c r="U10" i="15"/>
  <c r="V10" i="15"/>
  <c r="W10" i="15"/>
  <c r="X10" i="15"/>
  <c r="B11" i="15"/>
  <c r="D11" i="15"/>
  <c r="E11" i="15"/>
  <c r="F11" i="15"/>
  <c r="G11" i="15"/>
  <c r="H11" i="15"/>
  <c r="I11" i="15"/>
  <c r="J11" i="15"/>
  <c r="K11" i="15"/>
  <c r="L11" i="15"/>
  <c r="M11" i="15"/>
  <c r="N11" i="15"/>
  <c r="O11" i="15"/>
  <c r="P11" i="15"/>
  <c r="Q11" i="15"/>
  <c r="R11" i="15"/>
  <c r="S11" i="15"/>
  <c r="T11" i="15"/>
  <c r="U11" i="15"/>
  <c r="V11" i="15"/>
  <c r="W11" i="15"/>
  <c r="X11" i="15"/>
  <c r="B12" i="15"/>
  <c r="D12" i="15"/>
  <c r="E12" i="15"/>
  <c r="F12" i="15"/>
  <c r="G12" i="15"/>
  <c r="H12" i="15"/>
  <c r="I12" i="15"/>
  <c r="J12" i="15"/>
  <c r="K12" i="15"/>
  <c r="L12" i="15"/>
  <c r="M12" i="15"/>
  <c r="N12" i="15"/>
  <c r="O12" i="15"/>
  <c r="P12" i="15"/>
  <c r="Q12" i="15"/>
  <c r="R12" i="15"/>
  <c r="S12" i="15"/>
  <c r="T12" i="15"/>
  <c r="U12" i="15"/>
  <c r="V12" i="15"/>
  <c r="W12" i="15"/>
  <c r="X12" i="15"/>
  <c r="B19" i="15"/>
  <c r="C19" i="15"/>
  <c r="B20" i="15"/>
  <c r="C20" i="15"/>
  <c r="B21" i="15"/>
  <c r="C21" i="15"/>
  <c r="B22" i="15"/>
  <c r="C22" i="15"/>
  <c r="B29" i="15"/>
  <c r="C29" i="15"/>
  <c r="B30" i="15"/>
  <c r="C30" i="15"/>
  <c r="B31" i="15"/>
  <c r="C31" i="15"/>
  <c r="B32" i="15"/>
  <c r="C32" i="15"/>
  <c r="B39" i="15"/>
  <c r="C39" i="15"/>
  <c r="B40" i="15"/>
  <c r="C40" i="15"/>
  <c r="B41" i="15"/>
  <c r="C41" i="15"/>
  <c r="B42" i="15"/>
  <c r="C42" i="15"/>
  <c r="B49" i="15"/>
  <c r="C49" i="15"/>
  <c r="B50" i="15"/>
  <c r="C50" i="15"/>
  <c r="B51" i="15"/>
  <c r="C51" i="15"/>
  <c r="B52" i="15"/>
  <c r="C52" i="15"/>
  <c r="B59" i="15"/>
  <c r="C59" i="15"/>
  <c r="B60" i="15"/>
  <c r="C60" i="15"/>
  <c r="B61" i="15"/>
  <c r="C61" i="15"/>
  <c r="B62" i="15"/>
  <c r="C62" i="15"/>
  <c r="B69" i="15"/>
  <c r="C69" i="15"/>
  <c r="B70" i="15"/>
  <c r="C70" i="15"/>
  <c r="B71" i="15"/>
  <c r="C71" i="15"/>
  <c r="B72" i="15"/>
  <c r="C72" i="15"/>
  <c r="B79" i="15"/>
  <c r="C79" i="15"/>
  <c r="B80" i="15"/>
  <c r="C80" i="15"/>
  <c r="B81" i="15"/>
  <c r="C81" i="15"/>
  <c r="B82" i="15"/>
  <c r="C82" i="15"/>
  <c r="B89" i="15"/>
  <c r="C89" i="15"/>
  <c r="B90" i="15"/>
  <c r="C90" i="15"/>
  <c r="B91" i="15"/>
  <c r="C91" i="15"/>
  <c r="B92" i="15"/>
  <c r="C92" i="15"/>
  <c r="B99" i="15"/>
  <c r="C99" i="15"/>
  <c r="B100" i="15"/>
  <c r="C100" i="15"/>
  <c r="B101" i="15"/>
  <c r="C101" i="15"/>
  <c r="B102" i="15"/>
  <c r="C102" i="15"/>
  <c r="B109" i="15"/>
  <c r="C109" i="15"/>
  <c r="B110" i="15"/>
  <c r="C110" i="15"/>
  <c r="B111" i="15"/>
  <c r="C111" i="15"/>
  <c r="B112" i="15"/>
  <c r="C112" i="15"/>
  <c r="B119" i="15"/>
  <c r="C119" i="15"/>
  <c r="B120" i="15"/>
  <c r="C120" i="15"/>
  <c r="B121" i="15"/>
  <c r="C121" i="15"/>
  <c r="B122" i="15"/>
  <c r="C122" i="15"/>
  <c r="B129" i="15"/>
  <c r="C129" i="15"/>
  <c r="B130" i="15"/>
  <c r="C130" i="15"/>
  <c r="B131" i="15"/>
  <c r="C131" i="15"/>
  <c r="B132" i="15"/>
  <c r="C132" i="15"/>
  <c r="B139" i="15"/>
  <c r="C139" i="15"/>
  <c r="B140" i="15"/>
  <c r="C140" i="15"/>
  <c r="B141" i="15"/>
  <c r="C141" i="15"/>
  <c r="B142" i="15"/>
  <c r="C142" i="15"/>
  <c r="B149" i="15"/>
  <c r="C149" i="15"/>
  <c r="B150" i="15"/>
  <c r="C150" i="15"/>
  <c r="B151" i="15"/>
  <c r="C151" i="15"/>
  <c r="B152" i="15"/>
  <c r="C152" i="15"/>
  <c r="B159" i="15"/>
  <c r="C159" i="15"/>
  <c r="B160" i="15"/>
  <c r="C160" i="15"/>
  <c r="B161" i="15"/>
  <c r="C161" i="15"/>
  <c r="B162" i="15"/>
  <c r="C162" i="15"/>
  <c r="B169" i="15"/>
  <c r="C169" i="15"/>
  <c r="B170" i="15"/>
  <c r="C170" i="15"/>
  <c r="B171" i="15"/>
  <c r="C171" i="15"/>
  <c r="B172" i="15"/>
  <c r="C172" i="15"/>
  <c r="B179" i="15"/>
  <c r="C179" i="15"/>
  <c r="B180" i="15"/>
  <c r="C180" i="15"/>
  <c r="B181" i="15"/>
  <c r="C181" i="15"/>
  <c r="B182" i="15"/>
  <c r="C182" i="15"/>
  <c r="B189" i="15"/>
  <c r="C189" i="15"/>
  <c r="B190" i="15"/>
  <c r="C190" i="15"/>
  <c r="B191" i="15"/>
  <c r="C191" i="15"/>
  <c r="B192" i="15"/>
  <c r="C192" i="15"/>
  <c r="B199" i="15"/>
  <c r="C199" i="15"/>
  <c r="B200" i="15"/>
  <c r="C200" i="15"/>
  <c r="B201" i="15"/>
  <c r="C201" i="15"/>
  <c r="B202" i="15"/>
  <c r="C202" i="15"/>
  <c r="B209" i="15"/>
  <c r="C209" i="15"/>
  <c r="B210" i="15"/>
  <c r="C210" i="15"/>
  <c r="B211" i="15"/>
  <c r="C211" i="15"/>
  <c r="B212" i="15"/>
  <c r="C212" i="15"/>
  <c r="B219" i="15"/>
  <c r="C219" i="15"/>
  <c r="B220" i="15"/>
  <c r="C220" i="15"/>
  <c r="B221" i="15"/>
  <c r="C221" i="15"/>
  <c r="B222" i="15"/>
  <c r="C222" i="15"/>
  <c r="B229" i="15"/>
  <c r="C229" i="15"/>
  <c r="B230" i="15"/>
  <c r="C230" i="15"/>
  <c r="B231" i="15"/>
  <c r="C231" i="15"/>
  <c r="B232" i="15"/>
  <c r="C232" i="15"/>
  <c r="B239" i="15"/>
  <c r="C239" i="15"/>
  <c r="B240" i="15"/>
  <c r="C240" i="15"/>
  <c r="B241" i="15"/>
  <c r="C241" i="15"/>
  <c r="B242" i="15"/>
  <c r="C242" i="15"/>
  <c r="B249" i="15"/>
  <c r="C249" i="15"/>
  <c r="B250" i="15"/>
  <c r="C250" i="15"/>
  <c r="B251" i="15"/>
  <c r="C251" i="15"/>
  <c r="B252" i="15"/>
  <c r="C252" i="15"/>
  <c r="B259" i="15"/>
  <c r="C259" i="15"/>
  <c r="B260" i="15"/>
  <c r="C260" i="15"/>
  <c r="B261" i="15"/>
  <c r="C261" i="15"/>
  <c r="B262" i="15"/>
  <c r="C262" i="15"/>
  <c r="B269" i="15"/>
  <c r="C269" i="15"/>
  <c r="B270" i="15"/>
  <c r="C270" i="15"/>
  <c r="B271" i="15"/>
  <c r="C271" i="15"/>
  <c r="B272" i="15"/>
  <c r="C272" i="15"/>
  <c r="B279" i="15"/>
  <c r="C279" i="15"/>
  <c r="B280" i="15"/>
  <c r="C280" i="15"/>
  <c r="B281" i="15"/>
  <c r="C281" i="15"/>
  <c r="B282" i="15"/>
  <c r="C282" i="15"/>
  <c r="B289" i="15"/>
  <c r="C289" i="15"/>
  <c r="B290" i="15"/>
  <c r="C290" i="15"/>
  <c r="B291" i="15"/>
  <c r="C291" i="15"/>
  <c r="B292" i="15"/>
  <c r="C292" i="15"/>
  <c r="B299" i="15"/>
  <c r="C299" i="15"/>
  <c r="B300" i="15"/>
  <c r="C300" i="15"/>
  <c r="B301" i="15"/>
  <c r="C301" i="15"/>
  <c r="B302" i="15"/>
  <c r="C302" i="15"/>
  <c r="B309" i="15"/>
  <c r="C309" i="15"/>
  <c r="B310" i="15"/>
  <c r="C310" i="15"/>
  <c r="B311" i="15"/>
  <c r="C311" i="15"/>
  <c r="B312" i="15"/>
  <c r="C312" i="15"/>
  <c r="B319" i="15"/>
  <c r="C319" i="15"/>
  <c r="B320" i="15"/>
  <c r="C320" i="15"/>
  <c r="B321" i="15"/>
  <c r="C321" i="15"/>
  <c r="B322" i="15"/>
  <c r="C322" i="15"/>
  <c r="B329" i="15"/>
  <c r="C329" i="15"/>
  <c r="B330" i="15"/>
  <c r="C330" i="15"/>
  <c r="B331" i="15"/>
  <c r="C331" i="15"/>
  <c r="B332" i="15"/>
  <c r="C332" i="15"/>
  <c r="B339" i="15"/>
  <c r="C339" i="15"/>
  <c r="B340" i="15"/>
  <c r="C340" i="15"/>
  <c r="B341" i="15"/>
  <c r="C341" i="15"/>
  <c r="B342" i="15"/>
  <c r="C342" i="15"/>
  <c r="B349" i="15"/>
  <c r="C349" i="15"/>
  <c r="B350" i="15"/>
  <c r="C350" i="15"/>
  <c r="B351" i="15"/>
  <c r="C351" i="15"/>
  <c r="B352" i="15"/>
  <c r="C352" i="15"/>
  <c r="B359" i="15"/>
  <c r="C359" i="15"/>
  <c r="B360" i="15"/>
  <c r="C360" i="15"/>
  <c r="B361" i="15"/>
  <c r="C361" i="15"/>
  <c r="B362" i="15"/>
  <c r="C362" i="15"/>
  <c r="B369" i="15"/>
  <c r="C369" i="15"/>
  <c r="B370" i="15"/>
  <c r="C370" i="15"/>
  <c r="B371" i="15"/>
  <c r="C371" i="15"/>
  <c r="B372" i="15"/>
  <c r="C372" i="15"/>
  <c r="B379" i="15"/>
  <c r="C379" i="15"/>
  <c r="B380" i="15"/>
  <c r="C380" i="15"/>
  <c r="B381" i="15"/>
  <c r="C381" i="15"/>
  <c r="B382" i="15"/>
  <c r="C382" i="15"/>
  <c r="B389" i="15"/>
  <c r="C389" i="15"/>
  <c r="B390" i="15"/>
  <c r="C390" i="15"/>
  <c r="B391" i="15"/>
  <c r="C391" i="15"/>
  <c r="B392" i="15"/>
  <c r="C392" i="15"/>
  <c r="B399" i="15"/>
  <c r="C399" i="15"/>
  <c r="B400" i="15"/>
  <c r="C400" i="15"/>
  <c r="B401" i="15"/>
  <c r="C401" i="15"/>
  <c r="B402" i="15"/>
  <c r="C402" i="15"/>
  <c r="B409" i="15"/>
  <c r="C409" i="15"/>
  <c r="B410" i="15"/>
  <c r="C410" i="15"/>
  <c r="B411" i="15"/>
  <c r="C411" i="15"/>
  <c r="B412" i="15"/>
  <c r="C412" i="15"/>
  <c r="B419" i="15"/>
  <c r="C419" i="15"/>
  <c r="B420" i="15"/>
  <c r="C420" i="15"/>
  <c r="B421" i="15"/>
  <c r="C421" i="15"/>
  <c r="B422" i="15"/>
  <c r="C422" i="15"/>
  <c r="B429" i="15"/>
  <c r="C429" i="15"/>
  <c r="B430" i="15"/>
  <c r="C430" i="15"/>
  <c r="B431" i="15"/>
  <c r="C431" i="15"/>
  <c r="B432" i="15"/>
  <c r="C432" i="15"/>
  <c r="B439" i="15"/>
  <c r="C439" i="15"/>
  <c r="B440" i="15"/>
  <c r="C440" i="15"/>
  <c r="B441" i="15"/>
  <c r="C441" i="15"/>
  <c r="B442" i="15"/>
  <c r="C442" i="15"/>
  <c r="B449" i="15"/>
  <c r="C449" i="15"/>
  <c r="B450" i="15"/>
  <c r="C450" i="15"/>
  <c r="B451" i="15"/>
  <c r="C451" i="15"/>
  <c r="B452" i="15"/>
  <c r="C452" i="15"/>
  <c r="B459" i="15"/>
  <c r="C459" i="15"/>
  <c r="B460" i="15"/>
  <c r="C460" i="15"/>
  <c r="B461" i="15"/>
  <c r="C461" i="15"/>
  <c r="B462" i="15"/>
  <c r="C462" i="15"/>
  <c r="B469" i="15"/>
  <c r="C469" i="15"/>
  <c r="B470" i="15"/>
  <c r="C470" i="15"/>
  <c r="B471" i="15"/>
  <c r="C471" i="15"/>
  <c r="B472" i="15"/>
  <c r="C472" i="15"/>
  <c r="B479" i="15"/>
  <c r="C479" i="15"/>
  <c r="B480" i="15"/>
  <c r="C480" i="15"/>
  <c r="B481" i="15"/>
  <c r="C481" i="15"/>
  <c r="B482" i="15"/>
  <c r="C482" i="15"/>
  <c r="B489" i="15"/>
  <c r="C489" i="15"/>
  <c r="B490" i="15"/>
  <c r="C490" i="15"/>
  <c r="B491" i="15"/>
  <c r="C491" i="15"/>
  <c r="B492" i="15"/>
  <c r="C492" i="15"/>
  <c r="B499" i="15"/>
  <c r="C499" i="15"/>
  <c r="B500" i="15"/>
  <c r="C500" i="15"/>
  <c r="B501" i="15"/>
  <c r="C501" i="15"/>
  <c r="B502" i="15"/>
  <c r="C502" i="15"/>
  <c r="B509" i="15"/>
  <c r="C509" i="15"/>
  <c r="B510" i="15"/>
  <c r="C510" i="15"/>
  <c r="B511" i="15"/>
  <c r="C511" i="15"/>
  <c r="B512" i="15"/>
  <c r="C512" i="15"/>
  <c r="B519" i="15"/>
  <c r="C519" i="15"/>
  <c r="B520" i="15"/>
  <c r="C520" i="15"/>
  <c r="B521" i="15"/>
  <c r="C521" i="15"/>
  <c r="B522" i="15"/>
  <c r="C522" i="15"/>
  <c r="B529" i="15"/>
  <c r="C529" i="15"/>
  <c r="B530" i="15"/>
  <c r="C530" i="15"/>
  <c r="B531" i="15"/>
  <c r="C531" i="15"/>
  <c r="B532" i="15"/>
  <c r="C532" i="15"/>
  <c r="B539" i="15"/>
  <c r="C539" i="15"/>
  <c r="B540" i="15"/>
  <c r="C540" i="15"/>
  <c r="B541" i="15"/>
  <c r="C541" i="15"/>
  <c r="B542" i="15"/>
  <c r="C542" i="15"/>
  <c r="B549" i="15"/>
  <c r="C549" i="15"/>
  <c r="B550" i="15"/>
  <c r="C550" i="15"/>
  <c r="B551" i="15"/>
  <c r="C551" i="15"/>
  <c r="B552" i="15"/>
  <c r="C552" i="15"/>
  <c r="B559" i="15"/>
  <c r="C559" i="15"/>
  <c r="B560" i="15"/>
  <c r="C560" i="15"/>
  <c r="B561" i="15"/>
  <c r="C561" i="15"/>
  <c r="B562" i="15"/>
  <c r="C562" i="15"/>
  <c r="B569" i="15"/>
  <c r="C569" i="15"/>
  <c r="B570" i="15"/>
  <c r="C570" i="15"/>
  <c r="B571" i="15"/>
  <c r="C571" i="15"/>
  <c r="B572" i="15"/>
  <c r="C572" i="15"/>
  <c r="B579" i="15"/>
  <c r="C579" i="15"/>
  <c r="B580" i="15"/>
  <c r="C580" i="15"/>
  <c r="B581" i="15"/>
  <c r="C581" i="15"/>
  <c r="B582" i="15"/>
  <c r="C582" i="15"/>
  <c r="B589" i="15"/>
  <c r="C589" i="15"/>
  <c r="B590" i="15"/>
  <c r="C590" i="15"/>
  <c r="B591" i="15"/>
  <c r="C591" i="15"/>
  <c r="B592" i="15"/>
  <c r="C592" i="15"/>
  <c r="B600" i="15"/>
  <c r="C600" i="15"/>
  <c r="B601" i="15"/>
  <c r="C601" i="15"/>
  <c r="B602" i="15"/>
  <c r="C602" i="15"/>
  <c r="B603" i="15"/>
  <c r="C603" i="15"/>
  <c r="B611" i="15"/>
  <c r="C611" i="15"/>
  <c r="B612" i="15"/>
  <c r="C612" i="15"/>
  <c r="B613" i="15"/>
  <c r="C613" i="15"/>
  <c r="B614" i="15"/>
  <c r="C614" i="15"/>
  <c r="B622" i="15"/>
  <c r="C622" i="15"/>
  <c r="B623" i="15"/>
  <c r="C623" i="15"/>
  <c r="B624" i="15"/>
  <c r="C624" i="15"/>
  <c r="B625" i="15"/>
  <c r="C625" i="15"/>
  <c r="B633" i="15"/>
  <c r="C633" i="15"/>
  <c r="B634" i="15"/>
  <c r="C634" i="15"/>
  <c r="B635" i="15"/>
  <c r="C635" i="15"/>
  <c r="B636" i="15"/>
  <c r="C636" i="15"/>
  <c r="B644" i="15"/>
  <c r="C644" i="15"/>
  <c r="B645" i="15"/>
  <c r="C645" i="15"/>
  <c r="B646" i="15"/>
  <c r="C646" i="15"/>
  <c r="B647" i="15"/>
  <c r="C647" i="15"/>
  <c r="B655" i="15"/>
  <c r="C655" i="15"/>
  <c r="B656" i="15"/>
  <c r="C656" i="15"/>
  <c r="B657" i="15"/>
  <c r="C657" i="15"/>
  <c r="B658" i="15"/>
  <c r="C658" i="15"/>
  <c r="B666" i="15"/>
  <c r="C666" i="15"/>
  <c r="B667" i="15"/>
  <c r="C667" i="15"/>
  <c r="B668" i="15"/>
  <c r="C668" i="15"/>
  <c r="B669" i="15"/>
  <c r="C669" i="15"/>
  <c r="B677" i="15"/>
  <c r="C677" i="15"/>
  <c r="B678" i="15"/>
  <c r="C678" i="15"/>
  <c r="B679" i="15"/>
  <c r="C679" i="15"/>
  <c r="B680" i="15"/>
  <c r="C680" i="15"/>
  <c r="B688" i="15"/>
  <c r="C688" i="15"/>
  <c r="B689" i="15"/>
  <c r="C689" i="15"/>
  <c r="B690" i="15"/>
  <c r="C690" i="15"/>
  <c r="B691" i="15"/>
  <c r="C691" i="15"/>
  <c r="B699" i="15"/>
  <c r="C699" i="15"/>
  <c r="B700" i="15"/>
  <c r="C700" i="15"/>
  <c r="B701" i="15"/>
  <c r="C701" i="15"/>
  <c r="B702" i="15"/>
  <c r="C702" i="15"/>
  <c r="B710" i="15"/>
  <c r="C710" i="15"/>
  <c r="B711" i="15"/>
  <c r="C711" i="15"/>
  <c r="B712" i="15"/>
  <c r="C712" i="15"/>
  <c r="B713" i="15"/>
  <c r="C713" i="15"/>
  <c r="B722" i="15"/>
  <c r="C722" i="15"/>
  <c r="B723" i="15"/>
  <c r="C723" i="15"/>
  <c r="B724" i="15"/>
  <c r="C724" i="15"/>
  <c r="B725" i="15"/>
  <c r="C725" i="15"/>
  <c r="A1" i="17"/>
  <c r="C7" i="17"/>
  <c r="C8" i="17"/>
  <c r="C9" i="17"/>
  <c r="C10" i="17"/>
  <c r="C11" i="17"/>
  <c r="C15" i="17"/>
  <c r="C16" i="17"/>
  <c r="C17" i="17"/>
  <c r="C18" i="17"/>
  <c r="C19" i="17"/>
  <c r="C20" i="17"/>
  <c r="C21" i="17"/>
  <c r="D22" i="17"/>
  <c r="E22" i="17"/>
  <c r="F22" i="17"/>
  <c r="G22" i="17"/>
  <c r="H22" i="17"/>
  <c r="I22" i="17"/>
  <c r="J22" i="17"/>
  <c r="K22" i="17"/>
  <c r="L22" i="17"/>
  <c r="M22" i="17"/>
  <c r="N22" i="17"/>
  <c r="O22" i="17"/>
  <c r="P22" i="17"/>
  <c r="Q22" i="17"/>
  <c r="R22" i="17"/>
  <c r="S22" i="17"/>
  <c r="T22" i="17"/>
  <c r="U22" i="17"/>
  <c r="V22" i="17"/>
  <c r="W22" i="17"/>
  <c r="C24" i="17"/>
  <c r="C25" i="17"/>
  <c r="C29" i="17"/>
  <c r="C30" i="17"/>
  <c r="D35" i="17"/>
  <c r="E35" i="17"/>
  <c r="F35" i="17"/>
  <c r="G35" i="17"/>
  <c r="H35" i="17"/>
  <c r="I35" i="17"/>
  <c r="J35" i="17"/>
  <c r="K35" i="17"/>
  <c r="L35" i="17"/>
  <c r="M35" i="17"/>
  <c r="N35" i="17"/>
  <c r="O35" i="17"/>
  <c r="P35" i="17"/>
  <c r="Q35" i="17"/>
  <c r="R35" i="17"/>
  <c r="S35" i="17"/>
  <c r="T35" i="17"/>
  <c r="U35" i="17"/>
  <c r="V35" i="17"/>
  <c r="W35" i="17"/>
  <c r="X35" i="17"/>
  <c r="Y35" i="17"/>
  <c r="C36" i="17"/>
  <c r="D36" i="17"/>
  <c r="E36" i="17"/>
  <c r="F36" i="17"/>
  <c r="G36" i="17"/>
  <c r="H36" i="17"/>
  <c r="I36" i="17"/>
  <c r="J36" i="17"/>
  <c r="K36" i="17"/>
  <c r="L36" i="17"/>
  <c r="M36" i="17"/>
  <c r="N36" i="17"/>
  <c r="O36" i="17"/>
  <c r="P36" i="17"/>
  <c r="Q36" i="17"/>
  <c r="R36" i="17"/>
  <c r="S36" i="17"/>
  <c r="T36" i="17"/>
  <c r="U36" i="17"/>
  <c r="V36" i="17"/>
  <c r="W36" i="17"/>
  <c r="X36" i="17"/>
  <c r="C37" i="17"/>
  <c r="D37" i="17"/>
  <c r="E37" i="17"/>
  <c r="F37" i="17"/>
  <c r="G37" i="17"/>
  <c r="H37" i="17"/>
  <c r="I37" i="17"/>
  <c r="J37" i="17"/>
  <c r="K37" i="17"/>
  <c r="L37" i="17"/>
  <c r="M37" i="17"/>
  <c r="N37" i="17"/>
  <c r="O37" i="17"/>
  <c r="P37" i="17"/>
  <c r="Q37" i="17"/>
  <c r="R37" i="17"/>
  <c r="S37" i="17"/>
  <c r="T37" i="17"/>
  <c r="U37" i="17"/>
  <c r="V37" i="17"/>
  <c r="W37" i="17"/>
  <c r="X37" i="17"/>
  <c r="C38" i="17"/>
  <c r="D38" i="17"/>
  <c r="E38" i="17"/>
  <c r="F38" i="17"/>
  <c r="G38" i="17"/>
  <c r="H38" i="17"/>
  <c r="I38" i="17"/>
  <c r="J38" i="17"/>
  <c r="K38" i="17"/>
  <c r="L38" i="17"/>
  <c r="M38" i="17"/>
  <c r="N38" i="17"/>
  <c r="O38" i="17"/>
  <c r="P38" i="17"/>
  <c r="Q38" i="17"/>
  <c r="R38" i="17"/>
  <c r="S38" i="17"/>
  <c r="T38" i="17"/>
  <c r="U38" i="17"/>
  <c r="V38" i="17"/>
  <c r="W38" i="17"/>
  <c r="X38" i="17"/>
  <c r="Y38"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C42" i="17"/>
  <c r="D42" i="17"/>
  <c r="E42" i="17"/>
  <c r="F42" i="17"/>
  <c r="G42" i="17"/>
  <c r="H42" i="17"/>
  <c r="I42" i="17"/>
  <c r="J42" i="17"/>
  <c r="K42" i="17"/>
  <c r="L42" i="17"/>
  <c r="M42" i="17"/>
  <c r="N42" i="17"/>
  <c r="O42" i="17"/>
  <c r="P42" i="17"/>
  <c r="Q42" i="17"/>
  <c r="R42" i="17"/>
  <c r="S42" i="17"/>
  <c r="T42" i="17"/>
  <c r="U42" i="17"/>
  <c r="V42" i="17"/>
  <c r="W42" i="17"/>
  <c r="X42" i="17"/>
  <c r="Y42" i="17"/>
</calcChain>
</file>

<file path=xl/comments1.xml><?xml version="1.0" encoding="utf-8"?>
<comments xmlns="http://schemas.openxmlformats.org/spreadsheetml/2006/main">
  <authors>
    <author>Bryan Garrett</author>
    <author>nsainsb</author>
    <author>Sheetal J Bajoria x3-5692</author>
    <author>Tom Huntington</author>
  </authors>
  <commentList>
    <comment ref="H7" authorId="0"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I7" authorId="0"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L7" authorId="1"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U7" authorId="2" shapeId="0">
      <text>
        <r>
          <rPr>
            <b/>
            <sz val="8"/>
            <color indexed="81"/>
            <rFont val="Tahoma"/>
          </rPr>
          <t>SCHOOL MILLAGE RATE:
Sheetal J Bajoria x3-5692:
2/10/99
Need verification from Clay Spears</t>
        </r>
        <r>
          <rPr>
            <sz val="8"/>
            <color indexed="81"/>
            <rFont val="Tahoma"/>
          </rPr>
          <t xml:space="preserve">
</t>
        </r>
      </text>
    </comment>
    <comment ref="L8" authorId="2" shapeId="0">
      <text>
        <r>
          <rPr>
            <b/>
            <sz val="8"/>
            <color indexed="81"/>
            <rFont val="Tahoma"/>
          </rPr>
          <t xml:space="preserve">WATER VARIABLE O&amp;M
Neil S-C, 3/1/99
</t>
        </r>
        <r>
          <rPr>
            <sz val="8"/>
            <color indexed="81"/>
            <rFont val="Tahoma"/>
            <family val="2"/>
          </rPr>
          <t xml:space="preserve">David Ehler sent out this correction in early Feb.  I received it this morning
</t>
        </r>
        <r>
          <rPr>
            <b/>
            <sz val="8"/>
            <color indexed="81"/>
            <rFont val="Tahoma"/>
          </rPr>
          <t xml:space="preserve">
Sheetal J Bajoria x3-5692, 1/27/99:
</t>
        </r>
        <r>
          <rPr>
            <sz val="8"/>
            <color indexed="81"/>
            <rFont val="Tahoma"/>
            <family val="2"/>
          </rPr>
          <t>SE Peaking power projects, O&amp;M Estimates, D Ehler,  B Scmitt, dated 1/22/99: -Confirmed 746. Rewired to be truly variable with hours and MW</t>
        </r>
      </text>
    </comment>
    <comment ref="M8" authorId="1" shapeId="0">
      <text>
        <r>
          <rPr>
            <b/>
            <sz val="8"/>
            <color indexed="81"/>
            <rFont val="Tahoma"/>
          </rPr>
          <t xml:space="preserve">Variable MW's
Neil S-C: 2/16/99
</t>
        </r>
        <r>
          <rPr>
            <sz val="8"/>
            <color indexed="81"/>
            <rFont val="Tahoma"/>
            <family val="2"/>
          </rPr>
          <t>Directly from the OEC cost estimate.</t>
        </r>
      </text>
    </comment>
    <comment ref="I10" authorId="2" shapeId="0">
      <text>
        <r>
          <rPr>
            <b/>
            <sz val="10"/>
            <color indexed="81"/>
            <rFont val="Tahoma"/>
            <family val="2"/>
          </rPr>
          <t xml:space="preserve">NET MW:
Neil S-C, 3/1/99
</t>
        </r>
        <r>
          <rPr>
            <sz val="10"/>
            <color indexed="81"/>
            <rFont val="Tahoma"/>
            <family val="2"/>
          </rPr>
          <t xml:space="preserve">
Tom Huntington has confirmed that the site MW are between 500 and 510.  See memo in Specs section of binder</t>
        </r>
        <r>
          <rPr>
            <b/>
            <sz val="10"/>
            <color indexed="81"/>
            <rFont val="Tahoma"/>
            <family val="2"/>
          </rPr>
          <t xml:space="preserve">
Neil S-C, 2/21/99
</t>
        </r>
        <r>
          <rPr>
            <sz val="10"/>
            <color indexed="81"/>
            <rFont val="Tahoma"/>
            <family val="2"/>
          </rPr>
          <t>This was 509 and Rodney related that it is really 480 MW Site</t>
        </r>
        <r>
          <rPr>
            <b/>
            <sz val="10"/>
            <color indexed="81"/>
            <rFont val="Tahoma"/>
            <family val="2"/>
          </rPr>
          <t xml:space="preserve">
</t>
        </r>
      </text>
    </comment>
    <comment ref="L10" authorId="2" shapeId="0">
      <text>
        <r>
          <rPr>
            <b/>
            <sz val="8"/>
            <color indexed="81"/>
            <rFont val="Tahoma"/>
          </rPr>
          <t xml:space="preserve">VARIABLE MAINTENANCE
Sheetal J Bajoria x3-5692, 1/27/99:
</t>
        </r>
        <r>
          <rPr>
            <sz val="8"/>
            <color indexed="81"/>
            <rFont val="Tahoma"/>
            <family val="2"/>
          </rPr>
          <t>SE Peaking power projects, O&amp;M Estimates, D Ehler,  B Scmitt, dated 1/22/99: -Confirmed 746. Rewired to be truly variable with hours and MW</t>
        </r>
      </text>
    </comment>
    <comment ref="U10" authorId="2" shapeId="0">
      <text>
        <r>
          <rPr>
            <b/>
            <sz val="8"/>
            <color indexed="81"/>
            <rFont val="Tahoma"/>
          </rPr>
          <t>COUNTY MILLAGE RATE:
Sheetal J Bajoria x3-5692: 2/10/99 NEED VERIFICATION FROM Clay Spears</t>
        </r>
        <r>
          <rPr>
            <sz val="8"/>
            <color indexed="81"/>
            <rFont val="Tahoma"/>
          </rPr>
          <t xml:space="preserve">
</t>
        </r>
      </text>
    </comment>
    <comment ref="I12" authorId="2" shapeId="0">
      <text>
        <r>
          <rPr>
            <b/>
            <sz val="10"/>
            <color indexed="81"/>
            <rFont val="Tahoma"/>
            <family val="2"/>
          </rPr>
          <t>HEAT RATE
Sheetal J Bajoria x3-5692 Feb 2, 99:</t>
        </r>
        <r>
          <rPr>
            <sz val="10"/>
            <color indexed="81"/>
            <rFont val="Tahoma"/>
            <family val="2"/>
          </rPr>
          <t xml:space="preserve">
changed from 11,461 to 11,344 wrt to document from Azim Javin (EE&amp;CC) dated 2/1/99. 11,344 represents the Net Heat Rate, Btu/kWh HHV at a 90 degree ambient temperature.</t>
        </r>
        <r>
          <rPr>
            <sz val="12"/>
            <color indexed="81"/>
            <rFont val="Tahoma"/>
            <family val="2"/>
          </rPr>
          <t xml:space="preserve">
</t>
        </r>
      </text>
    </comment>
    <comment ref="U12" authorId="2" shapeId="0">
      <text>
        <r>
          <rPr>
            <b/>
            <sz val="8"/>
            <color indexed="81"/>
            <rFont val="Tahoma"/>
          </rPr>
          <t>CITY RATE:
Sheetal J Bajoria x3-5692: 2/10/99 NEED VERIFICATION FROM Clay Spears</t>
        </r>
        <r>
          <rPr>
            <sz val="8"/>
            <color indexed="81"/>
            <rFont val="Tahoma"/>
          </rPr>
          <t xml:space="preserve">
</t>
        </r>
      </text>
    </comment>
    <comment ref="U13" authorId="2" shapeId="0">
      <text>
        <r>
          <rPr>
            <b/>
            <sz val="8"/>
            <color indexed="81"/>
            <rFont val="Tahoma"/>
          </rPr>
          <t>PROPERTY TAXES
Sheetal J Bajoria x3-5692:</t>
        </r>
        <r>
          <rPr>
            <sz val="8"/>
            <color indexed="81"/>
            <rFont val="Tahoma"/>
          </rPr>
          <t xml:space="preserve">
per the  "Real Property Lease Agreement" between Brownsville Power I, LLC and the Industrial Development Board of the City of Brownsville, Tennessee. Section  6.02.
This abatement is valid for 15  years.
The calculation after 15 years needs to checked and automated.</t>
        </r>
      </text>
    </comment>
    <comment ref="A14" authorId="1" shapeId="0">
      <text>
        <r>
          <rPr>
            <b/>
            <sz val="8"/>
            <color indexed="81"/>
            <rFont val="Tahoma"/>
          </rPr>
          <t xml:space="preserve">Uses of Funds:
</t>
        </r>
        <r>
          <rPr>
            <sz val="8"/>
            <color indexed="81"/>
            <rFont val="Tahoma"/>
            <family val="2"/>
          </rPr>
          <t xml:space="preserve">
All cost figures come from the Control Budget put together by the Accounting Dept.</t>
        </r>
      </text>
    </comment>
    <comment ref="G14" authorId="2" shapeId="0">
      <text>
        <r>
          <rPr>
            <b/>
            <sz val="8"/>
            <color indexed="81"/>
            <rFont val="Tahoma"/>
          </rPr>
          <t>ANNUAL PEAK OPERATING HOURS
Sheetal J Bajoria x3-5692:</t>
        </r>
        <r>
          <rPr>
            <sz val="8"/>
            <color indexed="81"/>
            <rFont val="Tahoma"/>
          </rPr>
          <t xml:space="preserve">
Based on document EE&amp;CC, Mike Nanny 12/22/98.  PROBABLY WILL BE MUCH LOWER THAN THIS. PROBABLY IN RANGE OF 750-1200. Unless the permits are changed.
Does not affect NPV
</t>
        </r>
        <r>
          <rPr>
            <b/>
            <sz val="8"/>
            <color indexed="81"/>
            <rFont val="Tahoma"/>
            <family val="2"/>
          </rPr>
          <t>B.Rogers:</t>
        </r>
        <r>
          <rPr>
            <sz val="8"/>
            <color indexed="81"/>
            <rFont val="Tahoma"/>
          </rPr>
          <t xml:space="preserve"> Changed to 1200 Hrs. per Doug Sewel and Kevin Presto request</t>
        </r>
      </text>
    </comment>
    <comment ref="C16" authorId="1" shapeId="0">
      <text>
        <r>
          <rPr>
            <b/>
            <sz val="8"/>
            <color indexed="81"/>
            <rFont val="Tahoma"/>
          </rPr>
          <t xml:space="preserve">Turbines:
</t>
        </r>
        <r>
          <rPr>
            <sz val="8"/>
            <color indexed="81"/>
            <rFont val="Tahoma"/>
            <family val="2"/>
          </rPr>
          <t xml:space="preserve">
This is the 501FD and the 501F which are broken out in the Control Budget.</t>
        </r>
      </text>
    </comment>
    <comment ref="N20" authorId="2" shapeId="0">
      <text>
        <r>
          <rPr>
            <b/>
            <sz val="12"/>
            <color indexed="81"/>
            <rFont val="Tahoma"/>
            <family val="2"/>
          </rPr>
          <t xml:space="preserve">
PAYROLL AND BURDEN
Sheetal J Bajoria x3-5692, 1/27/99:
SE Peaking power projects, </t>
        </r>
        <r>
          <rPr>
            <sz val="12"/>
            <color indexed="81"/>
            <rFont val="Tahoma"/>
            <family val="2"/>
          </rPr>
          <t>O&amp;M Estimates, D Ehler,  B Scmitt, dated 1/22/99
was 428, now 465.69, based on 454 MW</t>
        </r>
      </text>
    </comment>
    <comment ref="N21" authorId="2" shapeId="0">
      <text>
        <r>
          <rPr>
            <sz val="10"/>
            <color indexed="81"/>
            <rFont val="Tahoma"/>
            <family val="2"/>
          </rPr>
          <t>OTHER O&amp;M EXPENSES
Sheetal J Bajoria x3-5692, 1/27/99:
SE Peaking power projects, O&amp;M Estimates, D Ehler,  B Scmitt, dated 1/22/99
was 230.changed to 235.76, calc based on 454</t>
        </r>
      </text>
    </comment>
    <comment ref="N24" authorId="2" shapeId="0">
      <text>
        <r>
          <rPr>
            <b/>
            <sz val="10"/>
            <color indexed="81"/>
            <rFont val="Tahoma"/>
            <family val="2"/>
          </rPr>
          <t xml:space="preserve">MANAGEMENT FEE
Sheetal J Bajoria x3-5692, 1/27/99:
SE Peaking power projects, </t>
        </r>
        <r>
          <rPr>
            <sz val="10"/>
            <color indexed="81"/>
            <rFont val="Tahoma"/>
            <family val="2"/>
          </rPr>
          <t>O&amp;M Estimates, D Ehler,  B Scmitt, dated 1/22/99
was 429, now 200. Based on 454 MW</t>
        </r>
      </text>
    </comment>
    <comment ref="I28" authorId="2" shapeId="0">
      <text>
        <r>
          <rPr>
            <b/>
            <sz val="8"/>
            <color indexed="81"/>
            <rFont val="Tahoma"/>
          </rPr>
          <t>2/10/99
Sheetal J Bajoria x3-5692:</t>
        </r>
        <r>
          <rPr>
            <sz val="8"/>
            <color indexed="81"/>
            <rFont val="Tahoma"/>
          </rPr>
          <t xml:space="preserve">
</t>
        </r>
      </text>
    </comment>
    <comment ref="C29" authorId="2" shapeId="0">
      <text>
        <r>
          <rPr>
            <b/>
            <sz val="8"/>
            <color indexed="81"/>
            <rFont val="Tahoma"/>
            <family val="2"/>
          </rPr>
          <t>SALES OF USE TAX ON EQUIPMENT</t>
        </r>
        <r>
          <rPr>
            <sz val="8"/>
            <color indexed="81"/>
            <rFont val="Tahoma"/>
            <family val="2"/>
          </rPr>
          <t xml:space="preserve">
</t>
        </r>
        <r>
          <rPr>
            <b/>
            <sz val="8"/>
            <color indexed="81"/>
            <rFont val="Tahoma"/>
            <family val="2"/>
          </rPr>
          <t>Neil S-C; 3/31/99</t>
        </r>
        <r>
          <rPr>
            <sz val="8"/>
            <color indexed="81"/>
            <rFont val="Tahoma"/>
            <family val="2"/>
          </rPr>
          <t xml:space="preserve">
The rate is 6% on all construction and non-manufacturing equipment.  The worst case expected by Tom Huntington is on Total Hard Costs less the Turbines, $5.8M for the transformers and the Spare Parts.  Verified with the Control Budget Version #2
Sheetal J Bajoria x3-5692: Jan 29,99
Verified as per Capital Control Budget from Tammy Sheppard, Revision#11: 13,896
</t>
        </r>
      </text>
    </comment>
    <comment ref="N29" authorId="2" shapeId="0">
      <text>
        <r>
          <rPr>
            <b/>
            <sz val="10"/>
            <color indexed="81"/>
            <rFont val="Tahoma"/>
            <family val="2"/>
          </rPr>
          <t xml:space="preserve">LIABILITY INSURANCE
Sheetal J Bajoria x3-5692, </t>
        </r>
        <r>
          <rPr>
            <sz val="10"/>
            <color indexed="81"/>
            <rFont val="Tahoma"/>
            <family val="2"/>
          </rPr>
          <t>1/29/99:
wrt Email from Paul Clayton, CORP INSR, to Agatha Andraczke on 1/20/99.   Number based on corporate allocation of costs.
Was zero now 10</t>
        </r>
      </text>
    </comment>
    <comment ref="N30" authorId="2" shapeId="0">
      <text>
        <r>
          <rPr>
            <b/>
            <sz val="10"/>
            <color indexed="81"/>
            <rFont val="Tahoma"/>
            <family val="2"/>
          </rPr>
          <t xml:space="preserve">BUSINESS INTERUPTION INSURANCE
Sheetal J Bajoria x3-5692, </t>
        </r>
        <r>
          <rPr>
            <sz val="10"/>
            <color indexed="81"/>
            <rFont val="Tahoma"/>
            <family val="2"/>
          </rPr>
          <t>1/29/99:
wrt Email from Paul Clayton, CORP INSR, to Agatha Andraczke on 1/20/99.   Number based on corporate allocation of costs.
Was 77 now 30</t>
        </r>
      </text>
    </comment>
    <comment ref="N31" authorId="2" shapeId="0">
      <text>
        <r>
          <rPr>
            <b/>
            <sz val="10"/>
            <color indexed="81"/>
            <rFont val="Tahoma"/>
            <family val="2"/>
          </rPr>
          <t>OPS. AND MACHINERT INSURANCE
Neil S-C; 3/29/99</t>
        </r>
        <r>
          <rPr>
            <sz val="10"/>
            <color indexed="81"/>
            <rFont val="Tahoma"/>
            <family val="2"/>
          </rPr>
          <t xml:space="preserve">
I have based this off of the 1999 estimates from David Marshall of 0.128% of Replacement Value.</t>
        </r>
        <r>
          <rPr>
            <b/>
            <sz val="10"/>
            <color indexed="81"/>
            <rFont val="Tahoma"/>
            <family val="2"/>
          </rPr>
          <t xml:space="preserve">
Sheetal J Bajoria x3-5692, </t>
        </r>
        <r>
          <rPr>
            <sz val="10"/>
            <color indexed="81"/>
            <rFont val="Tahoma"/>
            <family val="2"/>
          </rPr>
          <t>1/29/99:
wrt Email from Paul Clayton, CORP INSR, to Agatha Andraczke on 1/20/99.   Number based on corporate allocation of costs. Was 125 now 180</t>
        </r>
      </text>
    </comment>
    <comment ref="N33" authorId="1" shapeId="0">
      <text>
        <r>
          <rPr>
            <b/>
            <sz val="8"/>
            <color indexed="81"/>
            <rFont val="Tahoma"/>
          </rPr>
          <t xml:space="preserve">UTILITIES:
</t>
        </r>
        <r>
          <rPr>
            <sz val="8"/>
            <color indexed="81"/>
            <rFont val="Tahoma"/>
            <family val="2"/>
          </rPr>
          <t xml:space="preserve">
Neil S-C, 3/2/99
This is off of Brownsville and reduced according to # of turbines.</t>
        </r>
      </text>
    </comment>
    <comment ref="I34" authorId="1" shapeId="0">
      <text>
        <r>
          <rPr>
            <b/>
            <sz val="8"/>
            <color indexed="81"/>
            <rFont val="Tahoma"/>
          </rPr>
          <t xml:space="preserve">Debt Structure:
</t>
        </r>
        <r>
          <rPr>
            <sz val="8"/>
            <color indexed="81"/>
            <rFont val="Tahoma"/>
            <family val="2"/>
          </rPr>
          <t xml:space="preserve">
The Alternate Structure follows the CSFB bond offering and the Normal Structure is driven off of the coverage ratios.</t>
        </r>
      </text>
    </comment>
    <comment ref="N34" authorId="1" shapeId="0">
      <text>
        <r>
          <rPr>
            <b/>
            <sz val="8"/>
            <color indexed="81"/>
            <rFont val="Tahoma"/>
          </rPr>
          <t xml:space="preserve">UTILITIES:
</t>
        </r>
        <r>
          <rPr>
            <sz val="8"/>
            <color indexed="81"/>
            <rFont val="Tahoma"/>
            <family val="2"/>
          </rPr>
          <t xml:space="preserve">
Neil S-C, 3/2/99
I am using Brownsville as a proxy.</t>
        </r>
      </text>
    </comment>
    <comment ref="F38" authorId="1" shapeId="0">
      <text>
        <r>
          <rPr>
            <b/>
            <sz val="8"/>
            <color indexed="81"/>
            <rFont val="Tahoma"/>
          </rPr>
          <t xml:space="preserve">Tranche A:
</t>
        </r>
        <r>
          <rPr>
            <sz val="8"/>
            <color indexed="81"/>
            <rFont val="Tahoma"/>
            <family val="2"/>
          </rPr>
          <t xml:space="preserve">
Used only for the Alternative Structure and is 16.2% of total debt based on the portfolio bond indenture.</t>
        </r>
      </text>
    </comment>
    <comment ref="G38" authorId="1" shapeId="0">
      <text>
        <r>
          <rPr>
            <b/>
            <sz val="8"/>
            <color indexed="81"/>
            <rFont val="Tahoma"/>
          </rPr>
          <t xml:space="preserve">Tranche B:
</t>
        </r>
        <r>
          <rPr>
            <sz val="8"/>
            <color indexed="81"/>
            <rFont val="Tahoma"/>
            <family val="2"/>
          </rPr>
          <t xml:space="preserve">
Used only for the Alternative Debt and is 30% of cost based on the portfolio structure in the consolidated model.</t>
        </r>
      </text>
    </comment>
    <comment ref="H38" authorId="1" shapeId="0">
      <text>
        <r>
          <rPr>
            <b/>
            <sz val="8"/>
            <color indexed="81"/>
            <rFont val="Tahoma"/>
          </rPr>
          <t xml:space="preserve">Tranche C:
</t>
        </r>
        <r>
          <rPr>
            <sz val="8"/>
            <color indexed="81"/>
            <rFont val="Tahoma"/>
            <family val="2"/>
          </rPr>
          <t xml:space="preserve">
Used only for the Alternative Structure and assumes 54.2% of total debt based on portfolio.  See consolidated model.</t>
        </r>
      </text>
    </comment>
    <comment ref="I38" authorId="1" shapeId="0">
      <text>
        <r>
          <rPr>
            <b/>
            <sz val="8"/>
            <color indexed="81"/>
            <rFont val="Tahoma"/>
          </rPr>
          <t xml:space="preserve">Debt:
</t>
        </r>
        <r>
          <rPr>
            <sz val="8"/>
            <color indexed="81"/>
            <rFont val="Tahoma"/>
            <family val="2"/>
          </rPr>
          <t xml:space="preserve">
Back into 75% leverage to stay consistent with the CSFB terms and the consolidated model.</t>
        </r>
      </text>
    </comment>
    <comment ref="C41" authorId="1" shapeId="0">
      <text>
        <r>
          <rPr>
            <b/>
            <sz val="8"/>
            <color indexed="81"/>
            <rFont val="Tahoma"/>
          </rPr>
          <t xml:space="preserve">Gleason/Weakly Costs:
These costs are not Capitalized as the are expensed.  I am showing this expense in the 1st year.
</t>
        </r>
      </text>
    </comment>
    <comment ref="C42" authorId="1" shapeId="0">
      <text>
        <r>
          <rPr>
            <b/>
            <sz val="8"/>
            <color indexed="81"/>
            <rFont val="Tahoma"/>
          </rPr>
          <t xml:space="preserve">Gleason/Weakly Costs:
These costs are not Capitalized as the are expensed.  I am showing this expense in the 1st year.
</t>
        </r>
      </text>
    </comment>
    <comment ref="B54" authorId="1" shapeId="0">
      <text>
        <r>
          <rPr>
            <b/>
            <sz val="8"/>
            <color indexed="81"/>
            <rFont val="Tahoma"/>
          </rPr>
          <t xml:space="preserve">IDC Rate:
Neil S-C: 2/16/99
</t>
        </r>
        <r>
          <rPr>
            <sz val="8"/>
            <color indexed="81"/>
            <rFont val="Tahoma"/>
            <family val="2"/>
          </rPr>
          <t xml:space="preserve">
Enron Capital &amp; Trade Resources confirmation memo to Rodney Malcom for Swap Transaction Deal No. M140023</t>
        </r>
      </text>
    </comment>
    <comment ref="C54" authorId="1" shapeId="0">
      <text>
        <r>
          <rPr>
            <b/>
            <sz val="8"/>
            <color indexed="81"/>
            <rFont val="Tahoma"/>
          </rPr>
          <t>IDC:</t>
        </r>
        <r>
          <rPr>
            <sz val="8"/>
            <color indexed="81"/>
            <rFont val="Tahoma"/>
            <family val="2"/>
          </rPr>
          <t xml:space="preserve">
The IDC is not calculated in this model.  The model has the funcionality but see the Control Budget.  This includes; Interest SWAP, IDC, and the Commitment Fee.</t>
        </r>
      </text>
    </comment>
    <comment ref="N59" authorId="1" shapeId="0">
      <text>
        <r>
          <rPr>
            <b/>
            <sz val="8"/>
            <color indexed="81"/>
            <rFont val="Tahoma"/>
          </rPr>
          <t xml:space="preserve">START UP FUEL:
</t>
        </r>
        <r>
          <rPr>
            <sz val="8"/>
            <color indexed="81"/>
            <rFont val="Tahoma"/>
            <family val="2"/>
          </rPr>
          <t xml:space="preserve">
The volume per start comes from Kevin Presto's Gencon group but the model is not reflecting a cost as it is a true pass through and the consolidated model is not reflecting it.</t>
        </r>
      </text>
    </comment>
    <comment ref="C61" authorId="1" shapeId="0">
      <text>
        <r>
          <rPr>
            <b/>
            <sz val="8"/>
            <color indexed="81"/>
            <rFont val="Tahoma"/>
          </rPr>
          <t xml:space="preserve">Total Uses:
</t>
        </r>
        <r>
          <rPr>
            <sz val="8"/>
            <color indexed="81"/>
            <rFont val="Tahoma"/>
            <family val="2"/>
          </rPr>
          <t xml:space="preserve">
This should tie out to the latest weekly Control Budget.</t>
        </r>
      </text>
    </comment>
    <comment ref="N63" authorId="2" shapeId="0">
      <text>
        <r>
          <rPr>
            <b/>
            <sz val="8"/>
            <color indexed="81"/>
            <rFont val="Tahoma"/>
          </rPr>
          <t>STATE INCOME TAX RATE
Sheetal J Bajoria x3-5692:</t>
        </r>
        <r>
          <rPr>
            <sz val="8"/>
            <color indexed="81"/>
            <rFont val="Tahoma"/>
          </rPr>
          <t xml:space="preserve">
2/10/99 : PER MEMO From PAT MALOY TO Clay spears dated 6/29/98 wrt. TN taxes. The state income tax rate was changed from 5% (in Bryans model as of 1/25/99) to 6%.</t>
        </r>
      </text>
    </comment>
    <comment ref="N66" authorId="2" shapeId="0">
      <text>
        <r>
          <rPr>
            <sz val="8"/>
            <color indexed="81"/>
            <rFont val="Tahoma"/>
            <family val="2"/>
          </rPr>
          <t>STATE UTILITY GROSS RECEIPTS TAX RATE ON GROSS REVENUE
Sheetal J Bajoria x3-5692: 2/2/99:
Per memo from Patrick Maloy to Clay Spears wrt taxes in TN, DATED 6/29/98</t>
        </r>
        <r>
          <rPr>
            <b/>
            <sz val="8"/>
            <color indexed="81"/>
            <rFont val="Tahoma"/>
          </rPr>
          <t xml:space="preserve">
2/11/99 Per KEvin Presto, gross receipts refers to only the Energy payment and furthermore is payable on non-TVA hours.
</t>
        </r>
        <r>
          <rPr>
            <sz val="8"/>
            <color indexed="81"/>
            <rFont val="Tahoma"/>
          </rPr>
          <t xml:space="preserve">
Pay greater of 
(state util gross receipts) or  (excise util + Franchise) 
</t>
        </r>
      </text>
    </comment>
    <comment ref="N67" authorId="2" shapeId="0">
      <text>
        <r>
          <rPr>
            <b/>
            <sz val="8"/>
            <color indexed="81"/>
            <rFont val="Tahoma"/>
            <family val="2"/>
          </rPr>
          <t>STATE FRANCHISE TAX RATE ON CAPITAL 
Neil S-C 5/20/99</t>
        </r>
        <r>
          <rPr>
            <sz val="8"/>
            <color indexed="81"/>
            <rFont val="Tahoma"/>
            <family val="2"/>
          </rPr>
          <t xml:space="preserve">
It has been determined and confirmed by Patrick Maloy that as a public service company the LLC is exempted.
Sheetal J Bajoria x3-5692: 2/2/99:
Per memo from Patrick Maloy to Clay Spears wrt taxes in TN, DATED 6/29/98</t>
        </r>
        <r>
          <rPr>
            <b/>
            <sz val="8"/>
            <color indexed="81"/>
            <rFont val="Tahoma"/>
          </rPr>
          <t xml:space="preserve">
</t>
        </r>
        <r>
          <rPr>
            <sz val="8"/>
            <color indexed="81"/>
            <rFont val="Tahoma"/>
          </rPr>
          <t xml:space="preserve">
Pay greater of 
(state util gross rec) or  (excise util + Franchise ) </t>
        </r>
      </text>
    </comment>
    <comment ref="N68" authorId="2" shapeId="0">
      <text>
        <r>
          <rPr>
            <b/>
            <sz val="8"/>
            <color indexed="81"/>
            <rFont val="Tahoma"/>
            <family val="2"/>
          </rPr>
          <t>STATE SALES AND USE TAS RATE ON FUEL:</t>
        </r>
        <r>
          <rPr>
            <sz val="8"/>
            <color indexed="81"/>
            <rFont val="Tahoma"/>
            <family val="2"/>
          </rPr>
          <t xml:space="preserve">
</t>
        </r>
        <r>
          <rPr>
            <b/>
            <sz val="8"/>
            <color indexed="81"/>
            <rFont val="Tahoma"/>
            <family val="2"/>
          </rPr>
          <t xml:space="preserve">Neil S-C, 3/15/99 </t>
        </r>
        <r>
          <rPr>
            <sz val="8"/>
            <color indexed="81"/>
            <rFont val="Tahoma"/>
            <family val="2"/>
          </rPr>
          <t xml:space="preserve">
From the Ogden Newell &amp; Welch document an example highlights the mechanics.  All fuel cost is exempted except for 3% of the total production cost.
</t>
        </r>
        <r>
          <rPr>
            <b/>
            <sz val="8"/>
            <color indexed="81"/>
            <rFont val="Tahoma"/>
          </rPr>
          <t xml:space="preserve">
Gas used in power production is exempt from Sales and use tax.</t>
        </r>
        <r>
          <rPr>
            <sz val="8"/>
            <color indexed="81"/>
            <rFont val="Tahoma"/>
          </rPr>
          <t xml:space="preserve">
</t>
        </r>
      </text>
    </comment>
    <comment ref="N69" authorId="3" shapeId="0">
      <text>
        <r>
          <rPr>
            <b/>
            <sz val="8"/>
            <color indexed="81"/>
            <rFont val="Tahoma"/>
          </rPr>
          <t xml:space="preserve">Tom Huntington:  </t>
        </r>
        <r>
          <rPr>
            <sz val="8"/>
            <color indexed="81"/>
            <rFont val="Tahoma"/>
            <family val="2"/>
          </rPr>
          <t>This principal amount plus interest equates to state tax credits available under the KREDA program.  The principal is a</t>
        </r>
        <r>
          <rPr>
            <sz val="8"/>
            <color indexed="81"/>
            <rFont val="Tahoma"/>
          </rPr>
          <t xml:space="preserve"> negotiated amount with the state of KY.</t>
        </r>
      </text>
    </comment>
  </commentList>
</comments>
</file>

<file path=xl/comments2.xml><?xml version="1.0" encoding="utf-8"?>
<comments xmlns="http://schemas.openxmlformats.org/spreadsheetml/2006/main">
  <authors>
    <author>Bryan Garrett</author>
    <author>Sheetal J Bajoria x3-5692</author>
    <author>nsainsb</author>
  </authors>
  <commentList>
    <comment ref="C21" authorId="0"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A69" authorId="1" shapeId="0">
      <text>
        <r>
          <rPr>
            <b/>
            <sz val="8"/>
            <color indexed="81"/>
            <rFont val="Tahoma"/>
          </rPr>
          <t>Sheetal J Bajoria x3-5692:</t>
        </r>
        <r>
          <rPr>
            <sz val="8"/>
            <color indexed="81"/>
            <rFont val="Tahoma"/>
          </rPr>
          <t xml:space="preserve">
from ICF kaisiser presentationn dated Sept 23, 98, ppage 36,</t>
        </r>
      </text>
    </comment>
    <comment ref="A70" authorId="1" shapeId="0">
      <text>
        <r>
          <rPr>
            <b/>
            <sz val="8"/>
            <color indexed="81"/>
            <rFont val="Tahoma"/>
          </rPr>
          <t>Sheetal J Bajoria x3-5692:</t>
        </r>
        <r>
          <rPr>
            <sz val="8"/>
            <color indexed="81"/>
            <rFont val="Tahoma"/>
          </rPr>
          <t xml:space="preserve">
from ICF kaisiser presentationn dated Sept 23, 98, ppage 36,</t>
        </r>
      </text>
    </comment>
    <comment ref="B73" authorId="1" shapeId="0">
      <text>
        <r>
          <rPr>
            <b/>
            <sz val="8"/>
            <color indexed="81"/>
            <rFont val="Tahoma"/>
          </rPr>
          <t xml:space="preserve">
Sheetal J Bajoria x3-5692:</t>
        </r>
        <r>
          <rPr>
            <sz val="8"/>
            <color indexed="81"/>
            <rFont val="Tahoma"/>
          </rPr>
          <t xml:space="preserve">
`</t>
        </r>
      </text>
    </comment>
    <comment ref="A78" authorId="2" shapeId="0">
      <text>
        <r>
          <rPr>
            <b/>
            <sz val="8"/>
            <color indexed="81"/>
            <rFont val="Tahoma"/>
          </rPr>
          <t xml:space="preserve">Energy Curve:
Neil S-C, 2/17/99
</t>
        </r>
        <r>
          <rPr>
            <sz val="8"/>
            <color indexed="81"/>
            <rFont val="Tahoma"/>
            <family val="2"/>
          </rPr>
          <t>From the ICF Kaiser Market Assessment of TVA dated 9/23/98</t>
        </r>
      </text>
    </comment>
    <comment ref="A79" authorId="2"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Bryan Garrett</author>
  </authors>
  <commentList>
    <comment ref="C27" authorId="0" shapeId="0">
      <text>
        <r>
          <rPr>
            <b/>
            <sz val="8"/>
            <color indexed="81"/>
            <rFont val="Tahoma"/>
          </rPr>
          <t>Bryan Garrett:
Must be linked to the dispatch line in the consolidated model or must insert a line for dispatch run hours.</t>
        </r>
        <r>
          <rPr>
            <sz val="8"/>
            <color indexed="81"/>
            <rFont val="Tahoma"/>
          </rPr>
          <t xml:space="preserve">
</t>
        </r>
      </text>
    </comment>
  </commentList>
</comments>
</file>

<file path=xl/comments4.xml><?xml version="1.0" encoding="utf-8"?>
<comments xmlns="http://schemas.openxmlformats.org/spreadsheetml/2006/main">
  <authors>
    <author>Sheetal J Bajoria x3-5692</author>
  </authors>
  <commentList>
    <comment ref="D14" authorId="0" shapeId="0">
      <text>
        <r>
          <rPr>
            <b/>
            <sz val="8"/>
            <color indexed="81"/>
            <rFont val="Tahoma"/>
          </rPr>
          <t>Sheetal J Bajoria x3-5692:</t>
        </r>
        <r>
          <rPr>
            <sz val="8"/>
            <color indexed="81"/>
            <rFont val="Tahoma"/>
          </rPr>
          <t xml:space="preserve">
changed to add interest incomre</t>
        </r>
      </text>
    </comment>
    <comment ref="E14" authorId="0" shapeId="0">
      <text>
        <r>
          <rPr>
            <b/>
            <sz val="8"/>
            <color indexed="81"/>
            <rFont val="Tahoma"/>
          </rPr>
          <t>Sheetal J Bajoria x3-5692:</t>
        </r>
        <r>
          <rPr>
            <sz val="8"/>
            <color indexed="81"/>
            <rFont val="Tahoma"/>
          </rPr>
          <t xml:space="preserve">
changed to add interest incomre</t>
        </r>
      </text>
    </comment>
    <comment ref="F14" authorId="0" shapeId="0">
      <text>
        <r>
          <rPr>
            <b/>
            <sz val="8"/>
            <color indexed="81"/>
            <rFont val="Tahoma"/>
          </rPr>
          <t>Sheetal J Bajoria x3-5692:</t>
        </r>
        <r>
          <rPr>
            <sz val="8"/>
            <color indexed="81"/>
            <rFont val="Tahoma"/>
          </rPr>
          <t xml:space="preserve">
changed to add interest incomre</t>
        </r>
      </text>
    </comment>
    <comment ref="G14" authorId="0" shapeId="0">
      <text>
        <r>
          <rPr>
            <b/>
            <sz val="8"/>
            <color indexed="81"/>
            <rFont val="Tahoma"/>
          </rPr>
          <t>Sheetal J Bajoria x3-5692:</t>
        </r>
        <r>
          <rPr>
            <sz val="8"/>
            <color indexed="81"/>
            <rFont val="Tahoma"/>
          </rPr>
          <t xml:space="preserve">
changed to add interest incomre</t>
        </r>
      </text>
    </comment>
    <comment ref="H14" authorId="0" shapeId="0">
      <text>
        <r>
          <rPr>
            <b/>
            <sz val="8"/>
            <color indexed="81"/>
            <rFont val="Tahoma"/>
          </rPr>
          <t>Sheetal J Bajoria x3-5692:</t>
        </r>
        <r>
          <rPr>
            <sz val="8"/>
            <color indexed="81"/>
            <rFont val="Tahoma"/>
          </rPr>
          <t xml:space="preserve">
changed to add interest incomre</t>
        </r>
      </text>
    </comment>
    <comment ref="I14" authorId="0" shapeId="0">
      <text>
        <r>
          <rPr>
            <b/>
            <sz val="8"/>
            <color indexed="81"/>
            <rFont val="Tahoma"/>
          </rPr>
          <t>Sheetal J Bajoria x3-5692:</t>
        </r>
        <r>
          <rPr>
            <sz val="8"/>
            <color indexed="81"/>
            <rFont val="Tahoma"/>
          </rPr>
          <t xml:space="preserve">
changed to add interest incomre</t>
        </r>
      </text>
    </comment>
    <comment ref="J14" authorId="0" shapeId="0">
      <text>
        <r>
          <rPr>
            <b/>
            <sz val="8"/>
            <color indexed="81"/>
            <rFont val="Tahoma"/>
          </rPr>
          <t>Sheetal J Bajoria x3-5692:</t>
        </r>
        <r>
          <rPr>
            <sz val="8"/>
            <color indexed="81"/>
            <rFont val="Tahoma"/>
          </rPr>
          <t xml:space="preserve">
changed to add interest incomre</t>
        </r>
      </text>
    </comment>
    <comment ref="K14" authorId="0" shapeId="0">
      <text>
        <r>
          <rPr>
            <b/>
            <sz val="8"/>
            <color indexed="81"/>
            <rFont val="Tahoma"/>
          </rPr>
          <t>Sheetal J Bajoria x3-5692:</t>
        </r>
        <r>
          <rPr>
            <sz val="8"/>
            <color indexed="81"/>
            <rFont val="Tahoma"/>
          </rPr>
          <t xml:space="preserve">
changed to add interest incomre</t>
        </r>
      </text>
    </comment>
    <comment ref="L14" authorId="0" shapeId="0">
      <text>
        <r>
          <rPr>
            <b/>
            <sz val="8"/>
            <color indexed="81"/>
            <rFont val="Tahoma"/>
          </rPr>
          <t>Sheetal J Bajoria x3-5692:</t>
        </r>
        <r>
          <rPr>
            <sz val="8"/>
            <color indexed="81"/>
            <rFont val="Tahoma"/>
          </rPr>
          <t xml:space="preserve">
changed to add interest incomre</t>
        </r>
      </text>
    </comment>
    <comment ref="M14" authorId="0" shapeId="0">
      <text>
        <r>
          <rPr>
            <b/>
            <sz val="8"/>
            <color indexed="81"/>
            <rFont val="Tahoma"/>
          </rPr>
          <t>Sheetal J Bajoria x3-5692:</t>
        </r>
        <r>
          <rPr>
            <sz val="8"/>
            <color indexed="81"/>
            <rFont val="Tahoma"/>
          </rPr>
          <t xml:space="preserve">
changed to add interest incomre</t>
        </r>
      </text>
    </comment>
    <comment ref="N14" authorId="0" shapeId="0">
      <text>
        <r>
          <rPr>
            <b/>
            <sz val="8"/>
            <color indexed="81"/>
            <rFont val="Tahoma"/>
          </rPr>
          <t>Sheetal J Bajoria x3-5692:</t>
        </r>
        <r>
          <rPr>
            <sz val="8"/>
            <color indexed="81"/>
            <rFont val="Tahoma"/>
          </rPr>
          <t xml:space="preserve">
changed to add interest incomre</t>
        </r>
      </text>
    </comment>
    <comment ref="O14" authorId="0" shapeId="0">
      <text>
        <r>
          <rPr>
            <b/>
            <sz val="8"/>
            <color indexed="81"/>
            <rFont val="Tahoma"/>
          </rPr>
          <t>Sheetal J Bajoria x3-5692:</t>
        </r>
        <r>
          <rPr>
            <sz val="8"/>
            <color indexed="81"/>
            <rFont val="Tahoma"/>
          </rPr>
          <t xml:space="preserve">
changed to add interest incomre</t>
        </r>
      </text>
    </comment>
    <comment ref="P14" authorId="0" shapeId="0">
      <text>
        <r>
          <rPr>
            <b/>
            <sz val="8"/>
            <color indexed="81"/>
            <rFont val="Tahoma"/>
          </rPr>
          <t>Sheetal J Bajoria x3-5692:</t>
        </r>
        <r>
          <rPr>
            <sz val="8"/>
            <color indexed="81"/>
            <rFont val="Tahoma"/>
          </rPr>
          <t xml:space="preserve">
changed to add interest incomre</t>
        </r>
      </text>
    </comment>
    <comment ref="Q14" authorId="0" shapeId="0">
      <text>
        <r>
          <rPr>
            <b/>
            <sz val="8"/>
            <color indexed="81"/>
            <rFont val="Tahoma"/>
          </rPr>
          <t>Sheetal J Bajoria x3-5692:</t>
        </r>
        <r>
          <rPr>
            <sz val="8"/>
            <color indexed="81"/>
            <rFont val="Tahoma"/>
          </rPr>
          <t xml:space="preserve">
changed to add interest incomre</t>
        </r>
      </text>
    </comment>
    <comment ref="R14" authorId="0" shapeId="0">
      <text>
        <r>
          <rPr>
            <b/>
            <sz val="8"/>
            <color indexed="81"/>
            <rFont val="Tahoma"/>
          </rPr>
          <t>Sheetal J Bajoria x3-5692:</t>
        </r>
        <r>
          <rPr>
            <sz val="8"/>
            <color indexed="81"/>
            <rFont val="Tahoma"/>
          </rPr>
          <t xml:space="preserve">
changed to add interest incomre</t>
        </r>
      </text>
    </comment>
    <comment ref="S14" authorId="0" shapeId="0">
      <text>
        <r>
          <rPr>
            <b/>
            <sz val="8"/>
            <color indexed="81"/>
            <rFont val="Tahoma"/>
          </rPr>
          <t>Sheetal J Bajoria x3-5692:</t>
        </r>
        <r>
          <rPr>
            <sz val="8"/>
            <color indexed="81"/>
            <rFont val="Tahoma"/>
          </rPr>
          <t xml:space="preserve">
changed to add interest incomre</t>
        </r>
      </text>
    </comment>
    <comment ref="T14" authorId="0" shapeId="0">
      <text>
        <r>
          <rPr>
            <b/>
            <sz val="8"/>
            <color indexed="81"/>
            <rFont val="Tahoma"/>
          </rPr>
          <t>Sheetal J Bajoria x3-5692:</t>
        </r>
        <r>
          <rPr>
            <sz val="8"/>
            <color indexed="81"/>
            <rFont val="Tahoma"/>
          </rPr>
          <t xml:space="preserve">
changed to add interest incomre</t>
        </r>
      </text>
    </comment>
    <comment ref="U14" authorId="0" shapeId="0">
      <text>
        <r>
          <rPr>
            <b/>
            <sz val="8"/>
            <color indexed="81"/>
            <rFont val="Tahoma"/>
          </rPr>
          <t>Sheetal J Bajoria x3-5692:</t>
        </r>
        <r>
          <rPr>
            <sz val="8"/>
            <color indexed="81"/>
            <rFont val="Tahoma"/>
          </rPr>
          <t xml:space="preserve">
changed to add interest incomre</t>
        </r>
      </text>
    </comment>
    <comment ref="V14" authorId="0" shapeId="0">
      <text>
        <r>
          <rPr>
            <b/>
            <sz val="8"/>
            <color indexed="81"/>
            <rFont val="Tahoma"/>
          </rPr>
          <t>Sheetal J Bajoria x3-5692:</t>
        </r>
        <r>
          <rPr>
            <sz val="8"/>
            <color indexed="81"/>
            <rFont val="Tahoma"/>
          </rPr>
          <t xml:space="preserve">
changed to add interest incomre</t>
        </r>
      </text>
    </comment>
    <comment ref="W14" authorId="0" shapeId="0">
      <text>
        <r>
          <rPr>
            <b/>
            <sz val="8"/>
            <color indexed="81"/>
            <rFont val="Tahoma"/>
          </rPr>
          <t>Sheetal J Bajoria x3-5692:</t>
        </r>
        <r>
          <rPr>
            <sz val="8"/>
            <color indexed="81"/>
            <rFont val="Tahoma"/>
          </rPr>
          <t xml:space="preserve">
changed to add interest incomre</t>
        </r>
      </text>
    </comment>
    <comment ref="X14" authorId="0" shapeId="0">
      <text>
        <r>
          <rPr>
            <b/>
            <sz val="8"/>
            <color indexed="81"/>
            <rFont val="Tahoma"/>
          </rPr>
          <t>Sheetal J Bajoria x3-5692:</t>
        </r>
        <r>
          <rPr>
            <sz val="8"/>
            <color indexed="81"/>
            <rFont val="Tahoma"/>
          </rPr>
          <t xml:space="preserve">
changed to add interest incomre</t>
        </r>
      </text>
    </comment>
    <comment ref="Y14" authorId="0" shapeId="0">
      <text>
        <r>
          <rPr>
            <b/>
            <sz val="8"/>
            <color indexed="81"/>
            <rFont val="Tahoma"/>
          </rPr>
          <t>Sheetal J Bajoria x3-5692:</t>
        </r>
        <r>
          <rPr>
            <sz val="8"/>
            <color indexed="81"/>
            <rFont val="Tahoma"/>
          </rPr>
          <t xml:space="preserve">
changed to add interest incomre</t>
        </r>
      </text>
    </comment>
    <comment ref="Z14" authorId="0" shapeId="0">
      <text>
        <r>
          <rPr>
            <b/>
            <sz val="8"/>
            <color indexed="81"/>
            <rFont val="Tahoma"/>
          </rPr>
          <t>Sheetal J Bajoria x3-5692:</t>
        </r>
        <r>
          <rPr>
            <sz val="8"/>
            <color indexed="81"/>
            <rFont val="Tahoma"/>
          </rPr>
          <t xml:space="preserve">
changed to add interest incomre</t>
        </r>
      </text>
    </comment>
    <comment ref="AA14" authorId="0" shapeId="0">
      <text>
        <r>
          <rPr>
            <b/>
            <sz val="8"/>
            <color indexed="81"/>
            <rFont val="Tahoma"/>
          </rPr>
          <t>Sheetal J Bajoria x3-5692:</t>
        </r>
        <r>
          <rPr>
            <sz val="8"/>
            <color indexed="81"/>
            <rFont val="Tahoma"/>
          </rPr>
          <t xml:space="preserve">
changed to add interest incomre</t>
        </r>
      </text>
    </comment>
    <comment ref="AB14" authorId="0" shapeId="0">
      <text>
        <r>
          <rPr>
            <b/>
            <sz val="8"/>
            <color indexed="81"/>
            <rFont val="Tahoma"/>
          </rPr>
          <t>Sheetal J Bajoria x3-5692:</t>
        </r>
        <r>
          <rPr>
            <sz val="8"/>
            <color indexed="81"/>
            <rFont val="Tahoma"/>
          </rPr>
          <t xml:space="preserve">
changed to add interest incomre</t>
        </r>
      </text>
    </comment>
    <comment ref="A20" authorId="0" shapeId="0">
      <text>
        <r>
          <rPr>
            <b/>
            <sz val="8"/>
            <color indexed="81"/>
            <rFont val="Tahoma"/>
          </rPr>
          <t>Sheetal J Bajoria x3-5692:</t>
        </r>
        <r>
          <rPr>
            <sz val="8"/>
            <color indexed="81"/>
            <rFont val="Tahoma"/>
          </rPr>
          <t xml:space="preserve">
CHANGED FORMULA</t>
        </r>
      </text>
    </comment>
    <comment ref="D20" authorId="0" shapeId="0">
      <text>
        <r>
          <rPr>
            <b/>
            <sz val="8"/>
            <color indexed="81"/>
            <rFont val="Tahoma"/>
          </rPr>
          <t>Sheetal J Bajoria x3-5692:</t>
        </r>
        <r>
          <rPr>
            <sz val="8"/>
            <color indexed="81"/>
            <rFont val="Tahoma"/>
          </rPr>
          <t xml:space="preserve">
chca</t>
        </r>
      </text>
    </comment>
  </commentList>
</comments>
</file>

<file path=xl/comments5.xml><?xml version="1.0" encoding="utf-8"?>
<comments xmlns="http://schemas.openxmlformats.org/spreadsheetml/2006/main">
  <authors>
    <author>nsainsb</author>
    <author>Sheetal J Bajoria x3-5692</author>
  </authors>
  <commentList>
    <comment ref="A8" authorId="0" shapeId="0">
      <text>
        <r>
          <rPr>
            <b/>
            <sz val="8"/>
            <color indexed="81"/>
            <rFont val="Tahoma"/>
          </rPr>
          <t xml:space="preserve">Neil S-C; 3/15/99
</t>
        </r>
        <r>
          <rPr>
            <sz val="8"/>
            <color indexed="81"/>
            <rFont val="Tahoma"/>
            <family val="2"/>
          </rPr>
          <t xml:space="preserve">
This includes Capital Stock (Contributed Capital), Paid in Capital, Surplus and Retained Earnings and Loans from affiliates of Shareholders.   Basically everything on the right side of the balance sheet.
</t>
        </r>
      </text>
    </comment>
    <comment ref="A13" authorId="1" shapeId="0">
      <text>
        <r>
          <rPr>
            <b/>
            <sz val="8"/>
            <color indexed="81"/>
            <rFont val="Tahoma"/>
          </rPr>
          <t xml:space="preserve">Sheetal J Bajoria x3-5692:
</t>
        </r>
        <r>
          <rPr>
            <sz val="8"/>
            <color indexed="81"/>
            <rFont val="Tahoma"/>
          </rPr>
          <t xml:space="preserve">
CHANGED FROM GROSS RECEIPTS ON TOTAL REVENUE.</t>
        </r>
      </text>
    </comment>
  </commentList>
</comments>
</file>

<file path=xl/comments6.xml><?xml version="1.0" encoding="utf-8"?>
<comments xmlns="http://schemas.openxmlformats.org/spreadsheetml/2006/main">
  <authors>
    <author>bgarret</author>
  </authors>
  <commentList>
    <comment ref="B34" authorId="0" shapeId="0">
      <text>
        <r>
          <rPr>
            <b/>
            <sz val="8"/>
            <color indexed="81"/>
            <rFont val="Tahoma"/>
          </rPr>
          <t>bgarret:</t>
        </r>
        <r>
          <rPr>
            <sz val="8"/>
            <color indexed="81"/>
            <rFont val="Tahoma"/>
          </rPr>
          <t xml:space="preserve">
should vary with term of debt.
</t>
        </r>
      </text>
    </comment>
  </commentList>
</comments>
</file>

<file path=xl/comments7.xml><?xml version="1.0" encoding="utf-8"?>
<comments xmlns="http://schemas.openxmlformats.org/spreadsheetml/2006/main">
  <authors>
    <author>nsainsb</author>
  </authors>
  <commentList>
    <comment ref="A12" authorId="0" shapeId="0">
      <text>
        <r>
          <rPr>
            <b/>
            <sz val="8"/>
            <color indexed="81"/>
            <rFont val="Tahoma"/>
          </rPr>
          <t xml:space="preserve">Estimated Maintenance Cost:
</t>
        </r>
        <r>
          <rPr>
            <sz val="8"/>
            <color indexed="81"/>
            <rFont val="Tahoma"/>
            <family val="2"/>
          </rPr>
          <t xml:space="preserve">
This comes directly from the vender recommended repair and replace schedules provided by the OEC</t>
        </r>
      </text>
    </comment>
  </commentList>
</comments>
</file>

<file path=xl/sharedStrings.xml><?xml version="1.0" encoding="utf-8"?>
<sst xmlns="http://schemas.openxmlformats.org/spreadsheetml/2006/main" count="1472" uniqueCount="693">
  <si>
    <t>Years</t>
  </si>
  <si>
    <t>Power Capacity Factor</t>
  </si>
  <si>
    <t>EBITDA</t>
  </si>
  <si>
    <t>EBIT</t>
  </si>
  <si>
    <t>EBT</t>
  </si>
  <si>
    <t>Operations</t>
  </si>
  <si>
    <t>Year</t>
  </si>
  <si>
    <t>Principal</t>
  </si>
  <si>
    <t>Miscellaneous</t>
  </si>
  <si>
    <t>Interconnection Fees</t>
  </si>
  <si>
    <t>ASSUMPTIONS AND SUMMARY</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</si>
  <si>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</si>
  <si>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</si>
  <si>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</si>
  <si>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</si>
  <si>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</si>
  <si>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</si>
  <si>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</si>
  <si>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</si>
  <si>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</si>
  <si>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</si>
  <si>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</si>
  <si>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</si>
  <si>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</si>
  <si>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</si>
  <si>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</si>
  <si>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</si>
  <si>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</si>
  <si>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Plus Accrued Interest Expense</t>
  </si>
  <si>
    <t xml:space="preserve">  Less Interest Payments</t>
  </si>
  <si>
    <t xml:space="preserve">  Less Principal Payments</t>
  </si>
  <si>
    <t>Pretax Cash Flow</t>
  </si>
  <si>
    <t>After Tax Cash Flow</t>
  </si>
  <si>
    <t>Pretax Book Income</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</si>
  <si>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</si>
  <si>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</si>
  <si>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</si>
  <si>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</si>
  <si>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</si>
  <si>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</si>
  <si>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</si>
  <si>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</si>
  <si>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</si>
  <si>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</si>
  <si>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</si>
  <si>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</si>
  <si>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</si>
  <si>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</si>
  <si>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</si>
  <si>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</si>
  <si>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</si>
  <si>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</si>
  <si>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Drawdown Schedule</t>
  </si>
  <si>
    <t xml:space="preserve">   0=Straightline, 1=Custom</t>
  </si>
  <si>
    <t>Calculated IDC</t>
  </si>
  <si>
    <t>Month</t>
  </si>
  <si>
    <t>MODEL TOGGLES:</t>
  </si>
  <si>
    <t>Total Uses</t>
  </si>
  <si>
    <t xml:space="preserve">  Debt Reserves</t>
  </si>
  <si>
    <t xml:space="preserve">  Working Capital</t>
  </si>
  <si>
    <t>Sources of Funds</t>
  </si>
  <si>
    <t>Uses of Funds</t>
  </si>
  <si>
    <t xml:space="preserve">  Lender's Counsel</t>
  </si>
  <si>
    <t>After-Tax XIRR</t>
  </si>
  <si>
    <t>Pre-Tax XNPV</t>
  </si>
  <si>
    <t>After-Tax XNPV</t>
  </si>
  <si>
    <t>XNPV</t>
  </si>
  <si>
    <t>Required Return on Equity</t>
  </si>
  <si>
    <t>Percent Drawn Down</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</si>
  <si>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</si>
  <si>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</si>
  <si>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</si>
  <si>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</si>
  <si>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</si>
  <si>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</si>
  <si>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</si>
  <si>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</si>
  <si>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</si>
  <si>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Property Taxes</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</si>
  <si>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</si>
  <si>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</si>
  <si>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</si>
  <si>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</si>
  <si>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</si>
  <si>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</si>
  <si>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Book Provision for Taxes</t>
  </si>
  <si>
    <t xml:space="preserve">   Degraded Capacity (MW)</t>
  </si>
  <si>
    <t xml:space="preserve">   Peak  Hours</t>
  </si>
  <si>
    <t xml:space="preserve">   Fuel $/MWH</t>
  </si>
  <si>
    <t xml:space="preserve">   Taxable Income</t>
  </si>
  <si>
    <t xml:space="preserve">   Federal Tax Expense (Benefit)</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</si>
  <si>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</si>
  <si>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</si>
  <si>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</si>
  <si>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</si>
  <si>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</si>
  <si>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</si>
  <si>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</si>
  <si>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</si>
  <si>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</si>
  <si>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</si>
  <si>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</si>
  <si>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</si>
  <si>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</si>
  <si>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</si>
  <si>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</si>
  <si>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</si>
  <si>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</si>
  <si>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</si>
  <si>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</si>
  <si>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</si>
  <si>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</si>
  <si>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</si>
  <si>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</si>
  <si>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</si>
  <si>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</si>
  <si>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Assessed Value Multiplier</t>
  </si>
  <si>
    <t>Mileage rate for County Tax</t>
  </si>
  <si>
    <t>Mileage Rate for School Tax</t>
  </si>
  <si>
    <t>Years of School Tax Abatement</t>
  </si>
  <si>
    <t>N/A</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</si>
  <si>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</si>
  <si>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</si>
  <si>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</si>
  <si>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</si>
  <si>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</si>
  <si>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</si>
  <si>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</si>
  <si>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</si>
  <si>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</si>
  <si>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</si>
  <si>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</si>
  <si>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Liability Insurance</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</si>
  <si>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</si>
  <si>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</si>
  <si>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</si>
  <si>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</si>
  <si>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</si>
  <si>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</si>
  <si>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</si>
  <si>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</si>
  <si>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</si>
  <si>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</si>
  <si>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</si>
  <si>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Capacity ($/kw-mo)</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</si>
  <si>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</si>
  <si>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</si>
  <si>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</si>
  <si>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</si>
  <si>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</si>
  <si>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</si>
  <si>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</si>
  <si>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Total O&amp;M $/MWh</t>
  </si>
  <si>
    <t xml:space="preserve">   Fixed O&amp;M $/MWh</t>
  </si>
  <si>
    <t xml:space="preserve">   Debt Service $/kWmo</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</si>
  <si>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</si>
  <si>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</si>
  <si>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</si>
  <si>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</si>
  <si>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</si>
  <si>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</si>
  <si>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</si>
  <si>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</si>
  <si>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</si>
  <si>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</si>
  <si>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</si>
  <si>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</si>
  <si>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</si>
  <si>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</si>
  <si>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</si>
  <si>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</si>
  <si>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</si>
  <si>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</si>
  <si>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</si>
  <si>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</si>
  <si>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Income Taxes</t>
  </si>
  <si>
    <t>State Gross Receipts Taxes</t>
  </si>
  <si>
    <t xml:space="preserve">   Gross Receipts Tax Rate</t>
  </si>
  <si>
    <t xml:space="preserve">   Gross Receipts Tax Liability</t>
  </si>
  <si>
    <t xml:space="preserve">   Less State Tax Depreciation</t>
  </si>
  <si>
    <t xml:space="preserve">   State Income Tax Rate</t>
  </si>
  <si>
    <t>FEDERAL TAXES</t>
  </si>
  <si>
    <t>State Franchise Taxes</t>
  </si>
  <si>
    <t xml:space="preserve">   State Franchise Tax Rate</t>
  </si>
  <si>
    <t xml:space="preserve">   State Franchise Tax Liability</t>
  </si>
  <si>
    <t>Yes</t>
  </si>
  <si>
    <t>Allow Residual Capacity Value?</t>
  </si>
  <si>
    <t>Pass through Variable O&amp;M?</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</si>
  <si>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</si>
  <si>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</si>
  <si>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</si>
  <si>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</si>
  <si>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</si>
  <si>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</si>
  <si>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</si>
  <si>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</si>
  <si>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</si>
  <si>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</si>
  <si>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</si>
  <si>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</si>
  <si>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</si>
  <si>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</si>
  <si>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</si>
  <si>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</si>
  <si>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</si>
  <si>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</si>
  <si>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</si>
  <si>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</si>
  <si>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</si>
  <si>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</si>
  <si>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</si>
  <si>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</si>
  <si>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</si>
  <si>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</si>
  <si>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</si>
  <si>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</si>
  <si>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</si>
  <si>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</si>
  <si>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</si>
  <si>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</si>
  <si>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</si>
  <si>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</si>
  <si>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</si>
  <si>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</si>
  <si>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</si>
  <si>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</si>
  <si>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</si>
  <si>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</si>
  <si>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</si>
  <si>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</si>
  <si>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</si>
  <si>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</si>
  <si>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</si>
  <si>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Gas Interconnection Costs</t>
  </si>
  <si>
    <t>Allow Merchant Energy Revenue?</t>
  </si>
  <si>
    <t>Residual Capacity Value ($/kWmo)</t>
  </si>
  <si>
    <t>Total Annual CFAFDS</t>
  </si>
  <si>
    <t xml:space="preserve">   Delivered Gas Price</t>
  </si>
  <si>
    <t xml:space="preserve">   Fixed Price ($/MMBtu)</t>
  </si>
  <si>
    <t>Fixed Gas Price</t>
  </si>
  <si>
    <t>Months of Operation</t>
  </si>
  <si>
    <t>Insurance Costs:</t>
  </si>
  <si>
    <t>Total Insurance Cost</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</si>
  <si>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</si>
  <si>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</si>
  <si>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</si>
  <si>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</si>
  <si>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</si>
  <si>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</si>
  <si>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</si>
  <si>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</si>
  <si>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</si>
  <si>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</si>
  <si>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</si>
  <si>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</si>
  <si>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 xml:space="preserve">   Annual Depreciated Assessable Value</t>
  </si>
  <si>
    <t>BOOK DEPRECIATION &amp; AMORTIZATION</t>
  </si>
  <si>
    <t>Number of Starts to Maintenance Draw</t>
  </si>
  <si>
    <t>State Sales and Use Tax Rate on Fuel</t>
  </si>
  <si>
    <t xml:space="preserve">   Assessable Value of Hard Assets</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</si>
  <si>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</si>
  <si>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</si>
  <si>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</si>
  <si>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</si>
  <si>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</si>
  <si>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</si>
  <si>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</si>
  <si>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</si>
  <si>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</si>
  <si>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 xml:space="preserve">   Total Property Tax (with Abatement)</t>
  </si>
  <si>
    <t xml:space="preserve">   Annual City Tax (no city taxes)</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</si>
  <si>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</si>
  <si>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</si>
  <si>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</si>
  <si>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</si>
  <si>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</si>
  <si>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</si>
  <si>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</si>
  <si>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</si>
  <si>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</si>
  <si>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</si>
  <si>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</si>
  <si>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 xml:space="preserve">   Annual County Tax (with abatement)</t>
  </si>
  <si>
    <t xml:space="preserve">Years of County Tax Abatement </t>
  </si>
  <si>
    <t>W/Debt Res.</t>
  </si>
  <si>
    <t>W/O Debt Res.</t>
  </si>
  <si>
    <t xml:space="preserve">  EE&amp;CC Project Management</t>
  </si>
  <si>
    <t xml:space="preserve">  Resale Handling Fee</t>
  </si>
  <si>
    <t>Discount Rate</t>
  </si>
  <si>
    <t>NPV</t>
  </si>
  <si>
    <t>IRR</t>
  </si>
  <si>
    <t>Auction Value</t>
  </si>
  <si>
    <t>Total Value</t>
  </si>
  <si>
    <t>Less Cost</t>
  </si>
  <si>
    <t>Net Value</t>
  </si>
  <si>
    <t>Multiples</t>
  </si>
  <si>
    <t>IPO Value</t>
  </si>
  <si>
    <t xml:space="preserve"> </t>
  </si>
  <si>
    <t>NPV of 2001 Earnings</t>
  </si>
  <si>
    <t>IPO = NPV of 2001 Earnings*Multiple-Equity-Capacity Delta</t>
  </si>
  <si>
    <t>Reit =NPV of 2001  EBT*Multiple-Equity-Capacity Delta</t>
  </si>
  <si>
    <t>*</t>
  </si>
  <si>
    <t>IPO Equity Valuation*</t>
  </si>
  <si>
    <t>REIT Equity  Value**</t>
  </si>
  <si>
    <t>**</t>
  </si>
  <si>
    <t>NPV of 2001 EBTD</t>
  </si>
  <si>
    <t>Major Maintenance</t>
  </si>
  <si>
    <t xml:space="preserve">Tracker </t>
  </si>
  <si>
    <t>This page is designed to track all the changes made to the model to be able to reconcile back to any number that was released.</t>
  </si>
  <si>
    <t>Checked and verified</t>
  </si>
  <si>
    <t>Check with Tax</t>
  </si>
  <si>
    <t>Modelling or Assumption # change needed</t>
  </si>
  <si>
    <t>Need clarication of principle</t>
  </si>
  <si>
    <t>Changed</t>
  </si>
  <si>
    <t xml:space="preserve">   Fuel and start up fuel</t>
  </si>
  <si>
    <t>State Utility Gross Receipts Tax Rate (Gross Rev.)</t>
  </si>
  <si>
    <t>Capacity Rate Escalation for Kaiser estimates</t>
  </si>
  <si>
    <t>IDC amortized</t>
  </si>
  <si>
    <t>check util</t>
  </si>
  <si>
    <t>TO DO</t>
  </si>
  <si>
    <t>Water Treatment</t>
  </si>
  <si>
    <t>Variable Maintenance</t>
  </si>
  <si>
    <t>Payroll and Burden</t>
  </si>
  <si>
    <t>Other O&amp;M expenses</t>
  </si>
  <si>
    <t xml:space="preserve">   TOTAL FIXED O&amp;M</t>
  </si>
  <si>
    <t xml:space="preserve">   Bus Int Ins.</t>
  </si>
  <si>
    <t xml:space="preserve">   TOTAL FIXED G&amp;A</t>
  </si>
  <si>
    <t>Capacity Rate</t>
  </si>
  <si>
    <t>Fraction of Yr1</t>
  </si>
  <si>
    <t>Avg. Property Tax</t>
  </si>
  <si>
    <t>Avg Annual Int Rate Earned on EBITDA and Maint Res.</t>
  </si>
  <si>
    <t>State Franchise Tax Rate (Capital or BV of assets)</t>
  </si>
  <si>
    <t>Consultant's Energy Curve</t>
  </si>
  <si>
    <t>Kaiser Peak</t>
  </si>
  <si>
    <t>Kaiser Off peak</t>
  </si>
  <si>
    <t>ECT Peak Curve</t>
  </si>
  <si>
    <t>Marginal Cost Curve</t>
  </si>
  <si>
    <t>Kaiser Capacity Curve</t>
  </si>
  <si>
    <t>Energy Curve Selector</t>
  </si>
  <si>
    <t>Power Pricing Summary</t>
  </si>
  <si>
    <t xml:space="preserve">   All in Power Price $/MWH</t>
  </si>
  <si>
    <t xml:space="preserve">  Development Expenses</t>
  </si>
  <si>
    <t xml:space="preserve">  Mobilization of O&amp;M</t>
  </si>
  <si>
    <t xml:space="preserve">  Legal Expense</t>
  </si>
  <si>
    <t>TVA hours</t>
  </si>
  <si>
    <t xml:space="preserve">   Gross Receipts on non TVA hours ONLY</t>
  </si>
  <si>
    <t xml:space="preserve">  ABB (Transformer and Curcuit Breakers</t>
  </si>
  <si>
    <t xml:space="preserve">  Turbines</t>
  </si>
  <si>
    <t xml:space="preserve">  Spare Parts </t>
  </si>
  <si>
    <t xml:space="preserve">  Financing Fee</t>
  </si>
  <si>
    <t xml:space="preserve">   Energy Revenues</t>
  </si>
  <si>
    <t xml:space="preserve">  Capacity Revenues</t>
  </si>
  <si>
    <t>Months of Year Merchant</t>
  </si>
  <si>
    <t>% of Capacity Under PPA</t>
  </si>
  <si>
    <t>Capacity Payment Terms</t>
  </si>
  <si>
    <t xml:space="preserve">   Capacity Escalation Index</t>
  </si>
  <si>
    <t>r</t>
  </si>
  <si>
    <t xml:space="preserve">  NEPCO Scope (Balance of Plant Costs and Construction)</t>
  </si>
  <si>
    <t>End of Commercial Operation</t>
  </si>
  <si>
    <t>Term of ECT PPA (years)</t>
  </si>
  <si>
    <t xml:space="preserve">   Payroll &amp; Burden</t>
  </si>
  <si>
    <t xml:space="preserve">   Other O&amp;M Expenses</t>
  </si>
  <si>
    <t>$/YR</t>
  </si>
  <si>
    <t>$/MWh</t>
  </si>
  <si>
    <t>$/KWm</t>
  </si>
  <si>
    <t>Fixed G&amp;A</t>
  </si>
  <si>
    <t>Term Ave</t>
  </si>
  <si>
    <t xml:space="preserve">   Breakout of Total Fixed:</t>
  </si>
  <si>
    <t xml:space="preserve">   Fixed G&amp;A</t>
  </si>
  <si>
    <t>Kaiser Peak as of 1996 ( $ / MWh )</t>
  </si>
  <si>
    <t>Kaiser Off Peak as of 1996 ( $ / MWh )</t>
  </si>
  <si>
    <t>Net Project MW -  Site</t>
  </si>
  <si>
    <t>REAL</t>
  </si>
  <si>
    <t>OEC #'s per 1200 hrs</t>
  </si>
  <si>
    <t xml:space="preserve">   Start up fuel cost for all turbines</t>
  </si>
  <si>
    <t xml:space="preserve">      Total Fuel Cost</t>
  </si>
  <si>
    <t>WH501FD</t>
  </si>
  <si>
    <t>WH501F</t>
  </si>
  <si>
    <t>KREDA Intercompany Loan</t>
  </si>
  <si>
    <t>Total Cost Drawdown</t>
  </si>
  <si>
    <t xml:space="preserve">  Carrying Interest on Project Cost</t>
  </si>
  <si>
    <t>Cummulative Principal (Incl. Int.)</t>
  </si>
  <si>
    <t>MW'hrs</t>
  </si>
  <si>
    <t>Balance Sheet</t>
  </si>
  <si>
    <t>Assets:</t>
  </si>
  <si>
    <t>Cash</t>
  </si>
  <si>
    <t>Accounts Receivable</t>
  </si>
  <si>
    <t>Inventories</t>
  </si>
  <si>
    <t>Other Current Assets</t>
  </si>
  <si>
    <t>Debt Service Reserve</t>
  </si>
  <si>
    <t>Maintenance Reserve</t>
  </si>
  <si>
    <t>Total Current Assets</t>
  </si>
  <si>
    <t>Gross PP&amp;E</t>
  </si>
  <si>
    <t>Accumulated Depreciation</t>
  </si>
  <si>
    <t>Net PP&amp;E</t>
  </si>
  <si>
    <t>Land</t>
  </si>
  <si>
    <t>Other Assets</t>
  </si>
  <si>
    <t>Total Assets</t>
  </si>
  <si>
    <t>Liabilities</t>
  </si>
  <si>
    <t>Accounts Payable</t>
  </si>
  <si>
    <t>Accrued Expenses</t>
  </si>
  <si>
    <t>Deferred Tax Liability</t>
  </si>
  <si>
    <t>Working Capital Revolver</t>
  </si>
  <si>
    <t>Long Term Debt</t>
  </si>
  <si>
    <t>Other Non-Current Liabilities</t>
  </si>
  <si>
    <t>Total Long-term Liabilities</t>
  </si>
  <si>
    <t>Stockholders' Equity</t>
  </si>
  <si>
    <t>Paid-In-Capital</t>
  </si>
  <si>
    <t>Retained earnings</t>
  </si>
  <si>
    <t>Total stockholders' equity</t>
  </si>
  <si>
    <t>Total Liabilities &amp; Equity</t>
  </si>
  <si>
    <t>Proof</t>
  </si>
  <si>
    <t>Total Cash Taxes</t>
  </si>
  <si>
    <t>Total Book Taxes</t>
  </si>
  <si>
    <t xml:space="preserve">  Total Deferred Tax Liability</t>
  </si>
  <si>
    <t xml:space="preserve">  Cumulative DTL</t>
  </si>
  <si>
    <t>NPV at 15% 20 years After Tax</t>
  </si>
  <si>
    <t>NPV at 15% 20 years Before Tax</t>
  </si>
  <si>
    <t>YEAR</t>
  </si>
  <si>
    <t>Annual Revenues</t>
  </si>
  <si>
    <t>Annual Expenses</t>
  </si>
  <si>
    <t>1.  Models Sent to Banks on 2/23/99 - Neil Sainsbury-Carter</t>
  </si>
  <si>
    <t>CHECKS:</t>
  </si>
  <si>
    <t>Is the Balance Sheet Balanced?</t>
  </si>
  <si>
    <t>Total Depreciable Base</t>
  </si>
  <si>
    <t>Total Project Cost</t>
  </si>
  <si>
    <t xml:space="preserve">   Undepreciated Cost</t>
  </si>
  <si>
    <t xml:space="preserve">  Contingency on Hard &amp; Soft Costs</t>
  </si>
  <si>
    <t xml:space="preserve">  Contingency on NEPCO</t>
  </si>
  <si>
    <t xml:space="preserve">   Total Contingency</t>
  </si>
  <si>
    <t>2.  New Site Capacity put in.  It went from 480 to 505MW according to Tom Huntington.</t>
  </si>
  <si>
    <t>FERC Fee</t>
  </si>
  <si>
    <t xml:space="preserve">  Water Treatment</t>
  </si>
  <si>
    <t xml:space="preserve">  FERC Fee</t>
  </si>
  <si>
    <t xml:space="preserve">  Variable Maintenance</t>
  </si>
  <si>
    <t>REVENUE</t>
  </si>
  <si>
    <t>EXPENSES</t>
  </si>
  <si>
    <t xml:space="preserve">   Total Fixed G&amp;A</t>
  </si>
  <si>
    <t>TOTAL EXPENSES</t>
  </si>
  <si>
    <t>Base Year</t>
  </si>
  <si>
    <t xml:space="preserve">   EI O&amp;M Mobilization</t>
  </si>
  <si>
    <t>3.  Changed EI O&amp;M Mobilization to a 1 Yr. Deprec. Table.  Only Book Income is effected.</t>
  </si>
  <si>
    <t>4.  Increased the Utility Fee based off of the increased estimate to Brownsville.</t>
  </si>
  <si>
    <t>Startup Fuel Mmbtu/Turbine</t>
  </si>
  <si>
    <t>5.  Changed the Start Up Fuel to be in line with Brownsville.  As this is a passthrough no change in the returns.  Revenues and Expenses change equally.</t>
  </si>
  <si>
    <t>Fuel</t>
  </si>
  <si>
    <t>Debt Service</t>
  </si>
  <si>
    <t>6.  Increased the Water Treatment O&amp;M by 411.84 for Water injection that had been left out of the OEC assumption.  Only effect Variable which is a pass through.</t>
  </si>
  <si>
    <t xml:space="preserve">   State Taxable Income</t>
  </si>
  <si>
    <t xml:space="preserve">   Beginning NOL's</t>
  </si>
  <si>
    <t xml:space="preserve">   New NOL's</t>
  </si>
  <si>
    <t xml:space="preserve">   Expired NOL's</t>
  </si>
  <si>
    <t xml:space="preserve">   Ending NOL's</t>
  </si>
  <si>
    <t>20 Years</t>
  </si>
  <si>
    <t>Use Fed NOL Carryforward?</t>
  </si>
  <si>
    <t>Use State NOL Carryforward?</t>
  </si>
  <si>
    <t xml:space="preserve">   Less: Federal Tax Depreciation</t>
  </si>
  <si>
    <t xml:space="preserve">   Less: State Taxes</t>
  </si>
  <si>
    <t xml:space="preserve">   Federal Tax Rate</t>
  </si>
  <si>
    <t xml:space="preserve">    Total Federal Cash Taxes Payable/(Benefit)</t>
  </si>
  <si>
    <t>7.  Changed the Taxes according to Pat Maloy's schedule.  The order of the taxes has changed with the Franchise tax be a deductible for State Income Taxes</t>
  </si>
  <si>
    <t>RETURN ON EQUTIY:</t>
  </si>
  <si>
    <t>FIXED G&amp;A:</t>
  </si>
  <si>
    <t>OPERATING COST SUMMARY:</t>
  </si>
  <si>
    <t>8.  Changed the MACR table.</t>
  </si>
  <si>
    <t>Gas Pipeline Metering</t>
  </si>
  <si>
    <t xml:space="preserve">   Gas Pipeline Metering</t>
  </si>
  <si>
    <t>9.  Added to Fixed G&amp;A $30k for Gas Pipeline Metering</t>
  </si>
  <si>
    <t>10.  New Drawdown Scedules dated 3/19/99</t>
  </si>
  <si>
    <t>Total NPV</t>
  </si>
  <si>
    <t>Delta</t>
  </si>
  <si>
    <t>Current:  Linked to the Model</t>
  </si>
  <si>
    <t>1999 $000's</t>
  </si>
  <si>
    <t xml:space="preserve">   Property Insurance</t>
  </si>
  <si>
    <t>11.  Revised the model for the Version #1 costs and increased the insurance based on the 1999 estimates.</t>
  </si>
  <si>
    <t>Financing Fee (Annual)</t>
  </si>
  <si>
    <t>12.  Changed the IDC calculation to reflect half of the current months Draw.  This increases the total Capitalized Interest.</t>
  </si>
  <si>
    <t>13.  Version #2 of the Control Budget and small adjustments in the Drawdown.</t>
  </si>
  <si>
    <t>Paste Range for Franchise Tax Calc</t>
  </si>
  <si>
    <t>Note:  If this range is moved the MACRO will not paste into the correct range.</t>
  </si>
  <si>
    <t>Stockholders Equity</t>
  </si>
  <si>
    <t>Operating Taxes</t>
  </si>
  <si>
    <t xml:space="preserve">   Franchise Tax</t>
  </si>
  <si>
    <t xml:space="preserve">   Gross Receipts Tax</t>
  </si>
  <si>
    <t xml:space="preserve">   Total Operating Taxes</t>
  </si>
  <si>
    <t xml:space="preserve">   State Cash Income Taxes Payable/(Benefit)</t>
  </si>
  <si>
    <t>14.  Change the Franchise tax to include it in Book Income.</t>
  </si>
  <si>
    <t>15.  Added a full year to Yr. 20 to stay consistent with the 1999 models.</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</si>
  <si>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</si>
  <si>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</si>
  <si>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</si>
  <si>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16.   Rolled EI Mob into the Depreciable Base and increased the Book Deprec to 30 years.</t>
  </si>
  <si>
    <t>17.   Changed Interest Income to be 5% to 25% of EBITDA</t>
  </si>
  <si>
    <t>O&amp;M Fee</t>
  </si>
  <si>
    <t>Admin Fee</t>
  </si>
  <si>
    <t xml:space="preserve">   Admin Fee</t>
  </si>
  <si>
    <t xml:space="preserve">   O&amp;M Fee</t>
  </si>
  <si>
    <t>18.   Added a Admin fee of $1M which is prorated among the projects based on MW's</t>
  </si>
  <si>
    <t>19.  Changed the Major Maintenance to the new OEC Matrix for 120 starts.</t>
  </si>
  <si>
    <t>20.  Changed the Site MW's from 505 to 509.2</t>
  </si>
  <si>
    <t>21.  Start per year have gone from 115 to 120.  This is only effecting the cost of per start fuel.</t>
  </si>
  <si>
    <t>Fixed</t>
  </si>
  <si>
    <t>22.  Changed fuel curve to a Fixed price at $2.5</t>
  </si>
  <si>
    <t>2000-2003 Ave</t>
  </si>
  <si>
    <t xml:space="preserve">   Operating Taxes $/Kwmo</t>
  </si>
  <si>
    <t>COST PER START:</t>
  </si>
  <si>
    <t>No of Starts (By 10's)</t>
  </si>
  <si>
    <t>Cost/Start/Turbine</t>
  </si>
  <si>
    <t>Cost/Start</t>
  </si>
  <si>
    <t>Escalation</t>
  </si>
  <si>
    <t>Start Up Fuel</t>
  </si>
  <si>
    <t>Annual Growth of Total Cost</t>
  </si>
  <si>
    <t xml:space="preserve">Sales &amp; Use Tax on Fuel </t>
  </si>
  <si>
    <t>Fuel Price</t>
  </si>
  <si>
    <t>Fuel /Start/Turbine</t>
  </si>
  <si>
    <t>Major Main</t>
  </si>
  <si>
    <t>Total/Start Cost</t>
  </si>
  <si>
    <t>Fuel %</t>
  </si>
  <si>
    <t>Main %</t>
  </si>
  <si>
    <t>NO. of Starts Per Yr.</t>
  </si>
  <si>
    <t>Variable Expenses:</t>
  </si>
  <si>
    <t>Fixed Expenses:</t>
  </si>
  <si>
    <t>Per Start Expenses:</t>
  </si>
  <si>
    <t xml:space="preserve">   Start-Up Fuel</t>
  </si>
  <si>
    <t>Total Per Start Expenses</t>
  </si>
  <si>
    <t xml:space="preserve">   TOTAL VEP</t>
  </si>
  <si>
    <t>23.  Added a Per Start Revenue which allows the Maj. Main to be passed through.  Reduced Capacity to 3.25</t>
  </si>
  <si>
    <t>24.  Version # 4 of the Control Budget and Took out the Debt Reserve.</t>
  </si>
  <si>
    <t xml:space="preserve">  Mobilization Fuel</t>
  </si>
  <si>
    <t>$Yr. (000's)</t>
  </si>
  <si>
    <t xml:space="preserve">   Total  Operating Cost</t>
  </si>
  <si>
    <t>$/Start</t>
  </si>
  <si>
    <t xml:space="preserve">  Total Variable Expenses</t>
  </si>
  <si>
    <t>Fixed G&amp;A:</t>
  </si>
  <si>
    <t>FIXED OPERATING COSTS:</t>
  </si>
  <si>
    <t>Variable Operating Costs</t>
  </si>
  <si>
    <t>Fixed Operating Costs</t>
  </si>
  <si>
    <t>Property Taxes</t>
  </si>
  <si>
    <t xml:space="preserve">   Total Fixed Expenses</t>
  </si>
  <si>
    <t xml:space="preserve">  Total Variabl Op. Costs</t>
  </si>
  <si>
    <t xml:space="preserve">   Total Start Up Cost</t>
  </si>
  <si>
    <t xml:space="preserve">   Total Variable Operating Cost</t>
  </si>
  <si>
    <t xml:space="preserve">   Total Fixed (incl G&amp;A)</t>
  </si>
  <si>
    <t xml:space="preserve">   Total Property Taxes</t>
  </si>
  <si>
    <t xml:space="preserve">   Fixed Operating Costs</t>
  </si>
  <si>
    <t xml:space="preserve">   Variable Operating Costs $/kWmo</t>
  </si>
  <si>
    <t xml:space="preserve">   Fixed Operating Costs $/kWmo</t>
  </si>
  <si>
    <t xml:space="preserve">   Total Operating Costs $/kWmo</t>
  </si>
  <si>
    <t xml:space="preserve">   Total Op. Costs $/kWmo (excluding Debt Service)</t>
  </si>
  <si>
    <t xml:space="preserve">   Start Up Cost $/KW mo</t>
  </si>
  <si>
    <t xml:space="preserve">   Total Op. Cost $/kWmo (including Debt Service)</t>
  </si>
  <si>
    <t xml:space="preserve">   Variable Operating Cost $/MWh</t>
  </si>
  <si>
    <t xml:space="preserve">   Start Up Cost $/ MWh</t>
  </si>
  <si>
    <t>Property Tax ('02 Disc.)</t>
  </si>
  <si>
    <t>Operating Tax ('02 Disc.)</t>
  </si>
  <si>
    <t>VARIABLE PAYMENTS:</t>
  </si>
  <si>
    <t>Variable Energy Payment</t>
  </si>
  <si>
    <t>Start Up Payment</t>
  </si>
  <si>
    <t>VARIABLE OPERATING COSTS:</t>
  </si>
  <si>
    <t>$/ MW h</t>
  </si>
  <si>
    <t>$/Start/ Turbine</t>
  </si>
  <si>
    <t xml:space="preserve">  Variable Energy Payment</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</si>
  <si>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</si>
  <si>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</si>
  <si>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</si>
  <si>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</si>
  <si>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</si>
  <si>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</si>
  <si>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</si>
  <si>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</si>
  <si>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</si>
  <si>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</si>
  <si>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</si>
  <si>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</si>
  <si>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</si>
  <si>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</si>
  <si>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</si>
  <si>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O&amp;M Fees</t>
  </si>
  <si>
    <t>Variable Revenue</t>
  </si>
  <si>
    <t>Start Payment/Turbine</t>
  </si>
  <si>
    <t>25.  Put in the new ICF Capacity Curve.</t>
  </si>
  <si>
    <t>26.  Changed the MMBTU / Start up fuel per Azim's latest estimates</t>
  </si>
  <si>
    <t>Start Up MMBTU's</t>
  </si>
  <si>
    <t xml:space="preserve">   Land</t>
  </si>
  <si>
    <t>27.  Capacity has been confirmed at 510.  Up from 509.6</t>
  </si>
  <si>
    <t>28.  PPA Capacity Price</t>
  </si>
  <si>
    <t>Utility: Start Up Power</t>
  </si>
  <si>
    <t>Utilities  Facility Load</t>
  </si>
  <si>
    <t>Utilities:  Start Up Power</t>
  </si>
  <si>
    <t xml:space="preserve">   Utilities : Start Up Power</t>
  </si>
  <si>
    <t xml:space="preserve">   Utilities : Facility Load</t>
  </si>
  <si>
    <t>29.  Broke out the Utilities Cost between Start Up Power and Facilities Cost.  I prorated the Brownsville Start Up cost based on Brownsville which caused the cost to go down.</t>
  </si>
  <si>
    <t>TRANCHE 1</t>
  </si>
  <si>
    <t>Beginning Prinipal</t>
  </si>
  <si>
    <t>Grace Period</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</si>
  <si>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</si>
  <si>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</si>
  <si>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</si>
  <si>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</si>
  <si>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</si>
  <si>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</si>
  <si>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</si>
  <si>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</si>
  <si>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</si>
  <si>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</si>
  <si>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Alternate</t>
  </si>
  <si>
    <t>30.  New Quantity of fuel in MMBTUs for the Start Up fuel and Version # 5 of the Control Budget which only had a small change in IDC.</t>
  </si>
  <si>
    <t>31.  Start Date moved to 7/1/99 for 6/1/99</t>
  </si>
  <si>
    <t>Degraded Capacity</t>
  </si>
  <si>
    <t>On Merchant Hours Only</t>
  </si>
  <si>
    <t>Marketing Fee (Merchant Only)</t>
  </si>
  <si>
    <t>$/kw-mo</t>
  </si>
  <si>
    <t xml:space="preserve">   Marketing Fee</t>
  </si>
  <si>
    <t>Kaiser TVA Base $/kw-year (in 1998 real $)</t>
  </si>
  <si>
    <t>Kaiser TVA Low $/kw-year (in 1998 real $)</t>
  </si>
  <si>
    <t>32.  Added a 2% degredation of Capacity during the Merchant Period and a .07 / kw-mo Marketing Fee.</t>
  </si>
  <si>
    <t>33.  Modified the Kaiser Curve with their $1998</t>
  </si>
  <si>
    <t xml:space="preserve">34.  Adjusted the Start Up Fuel MMBTU's </t>
  </si>
  <si>
    <t>35.  Control Budget Version # 7</t>
  </si>
  <si>
    <t>36.  Put in the Major Maintenance Schedule</t>
  </si>
  <si>
    <t>37.  Moved the Start Date to June making 7 months of operations in Yr. 1</t>
  </si>
  <si>
    <t>Energy Margin</t>
  </si>
  <si>
    <t>Capacity Factor</t>
  </si>
  <si>
    <t xml:space="preserve">   Peak Capacity Sales Rate (MW)</t>
  </si>
  <si>
    <t xml:space="preserve">   Peak Energy Sales (MW)</t>
  </si>
  <si>
    <t xml:space="preserve">   Energy Margin</t>
  </si>
  <si>
    <t>38.  Included the Energy Margin on 2% of the capacity during the merchant period</t>
  </si>
  <si>
    <t>39.  Reduced the Maj. Main in the Block Payment to 1/3 of the expense as 2/3's are included by Kaiser in the Capacity Price.</t>
  </si>
  <si>
    <t>Consolidated Check</t>
  </si>
  <si>
    <t>EGC EITDA</t>
  </si>
  <si>
    <t>Plus : L/C</t>
  </si>
  <si>
    <t>Less:  Interest</t>
  </si>
  <si>
    <t xml:space="preserve">    Difference</t>
  </si>
  <si>
    <t>Calvert City</t>
  </si>
  <si>
    <t>PPA Plant Output Summary</t>
  </si>
  <si>
    <t>Merchant Plant Output Summary</t>
  </si>
  <si>
    <t>Milleage Rate for City</t>
  </si>
  <si>
    <t>Mileage rate for State Tax</t>
  </si>
  <si>
    <t xml:space="preserve">   Annual State Tax (with abatement)</t>
  </si>
  <si>
    <t>40.  Control Budget Version #8</t>
  </si>
  <si>
    <t>41.  Moved the Start Date to 5/30/20</t>
  </si>
  <si>
    <t xml:space="preserve">  Water Interconnect</t>
  </si>
  <si>
    <t>42.  Control Budget Version # 9</t>
  </si>
  <si>
    <t>Fuel Sales and Use Tax</t>
  </si>
  <si>
    <t xml:space="preserve">    Capital Employed</t>
  </si>
  <si>
    <t>Total Production Costs Less Fuel</t>
  </si>
  <si>
    <t>Sales &amp; Use Tax on 3% of Production Cost</t>
  </si>
  <si>
    <t xml:space="preserve">   Sales and Use Tax on Fuel</t>
  </si>
  <si>
    <t>3% of Above</t>
  </si>
  <si>
    <t xml:space="preserve">   Sales Tax Rate </t>
  </si>
  <si>
    <t>43.  Revisisted the Sales and Use Tax on Fuel.  All fuel exept for 3% of the to cost of production is exempted.</t>
  </si>
  <si>
    <t>Alternate</t>
  </si>
  <si>
    <t xml:space="preserve">   Peak Fuel MMBBtu</t>
  </si>
  <si>
    <t>44.  Alternative Financing Plan.  Debt Financing Assumptions</t>
  </si>
  <si>
    <t>45.  Exemption of the Franchise Tax</t>
  </si>
  <si>
    <t>46.  Changed the excalation on the $.07 Marketing Fee.  Escalated from 2003</t>
  </si>
  <si>
    <t>47.  Control Budget Version # 10</t>
  </si>
  <si>
    <t>48.  Control Budget Version # 11</t>
  </si>
  <si>
    <t>49.  The Block Payment in the last year prorated the Major Main. While the cost was a full year</t>
  </si>
  <si>
    <t xml:space="preserve">50.  Added the Start Up Fuel back in </t>
  </si>
  <si>
    <t>51.  Control Budget Version #15</t>
  </si>
  <si>
    <t>52.  Took out the Franchise Tax again as per the tax minimization effort.</t>
  </si>
  <si>
    <t xml:space="preserve">  Total Expensed Costs</t>
  </si>
  <si>
    <t xml:space="preserve">  Gleason/Weakly Expenses</t>
  </si>
  <si>
    <t>53.  Control Budget revision # 18</t>
  </si>
  <si>
    <t>ISO Capacity Rating (MW)</t>
  </si>
  <si>
    <t xml:space="preserve">   Block Revenue</t>
  </si>
  <si>
    <t xml:space="preserve">  Overhead &amp; Fees - EECC</t>
  </si>
  <si>
    <t xml:space="preserve">  Overhead &amp; Fees - NEPCO</t>
  </si>
  <si>
    <t xml:space="preserve">  Base Fee</t>
  </si>
  <si>
    <t xml:space="preserve">  Switchyard</t>
  </si>
  <si>
    <t xml:space="preserve">  Union Adders/Others</t>
  </si>
  <si>
    <t xml:space="preserve">  Power Inteconnect</t>
  </si>
  <si>
    <t>54.  Using ISO capacity numbers for the merchant periods</t>
  </si>
  <si>
    <t>55.  Control Budget Version #20</t>
  </si>
  <si>
    <t>56.  Control Budget Version #21</t>
  </si>
  <si>
    <t>57.  Adjusted the debt to be 75%.  The Project Cost has been increasing in the last few Control Budgets so this had sunk to about 70%</t>
  </si>
  <si>
    <t>Estimated Cost Schedule for 120 Starts</t>
  </si>
  <si>
    <t>Start Up Fuel (MMBTU/Turbine)</t>
  </si>
  <si>
    <t xml:space="preserve">   Project Cost Expensed</t>
  </si>
  <si>
    <t>58.  Expensed the Gleason/Weakly Expenses and other Project Expenses that are not capitalized in the 1st year.</t>
  </si>
  <si>
    <t xml:space="preserve">   Expensed Project Costs</t>
  </si>
  <si>
    <t>60.  Update costs from weekly control sheets</t>
  </si>
  <si>
    <t>61. No changes to model from control sheet</t>
  </si>
  <si>
    <t>62. No changes to model from control sheet</t>
  </si>
  <si>
    <t>63. No changes to model from control sheet</t>
  </si>
  <si>
    <t>GLEASON, TN</t>
  </si>
  <si>
    <t>64. No more water interconnection costs or total expense fees, changed Contingency, IDC, Startup fuel, and development</t>
  </si>
  <si>
    <t xml:space="preserve">65. Changes made to IDC </t>
  </si>
  <si>
    <t xml:space="preserve">66. Changes made to IDC </t>
  </si>
  <si>
    <t>68. Changes made to development and nepco costs</t>
  </si>
  <si>
    <t>67. Changes made to IDC and no more Contingency</t>
  </si>
  <si>
    <t>68. Changes made to power interconnect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</si>
</sst>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8">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18" formatCode="&quot;$&quot;#,##0.000_);\(&quot;$&quot;#,##0.000\)"/>
    <numFmt numFmtId="222" formatCode="0.0000_)"/>
    <numFmt numFmtId="223" formatCode="&quot;$&quot;#,##0.0000000_);\(&quot;$&quot;#,##0.0000000\)"/>
    <numFmt numFmtId="224" formatCode="0.000000000"/>
    <numFmt numFmtId="225" formatCode="0.0000000000"/>
    <numFmt numFmtId="238" formatCode="0.000000000_)"/>
    <numFmt numFmtId="243" formatCode="mmm\-yy_)"/>
    <numFmt numFmtId="250" formatCode="_(* #,##0.0_);_(* \(#,##0.0\);_(* &quot;-&quot;_);_(@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44">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u/>
      <sz val="8"/>
      <name val="Arial"/>
      <family val="2"/>
    </font>
    <font>
      <sz val="8"/>
      <color indexed="81"/>
      <name val="Tahoma"/>
    </font>
    <font>
      <sz val="10"/>
      <color indexed="12"/>
      <name val="Arial"/>
      <family val="2"/>
    </font>
    <font>
      <sz val="10"/>
      <name val="Arial"/>
      <family val="2"/>
    </font>
    <font>
      <u/>
      <sz val="10"/>
      <color indexed="12"/>
      <name val="Arial"/>
    </font>
    <font>
      <b/>
      <sz val="8"/>
      <name val="Arial"/>
      <family val="2"/>
    </font>
    <font>
      <sz val="9"/>
      <name val="Arial"/>
      <family val="2"/>
    </font>
    <font>
      <b/>
      <u/>
      <sz val="8"/>
      <name val="Arial"/>
      <family val="2"/>
    </font>
    <font>
      <u val="singleAccounting"/>
      <sz val="8"/>
      <name val="Arial"/>
    </font>
    <font>
      <sz val="10"/>
      <name val="Times New Roman"/>
    </font>
    <font>
      <sz val="8"/>
      <color indexed="8"/>
      <name val="P-TIMES"/>
    </font>
    <font>
      <sz val="8"/>
      <color indexed="8"/>
      <name val="Arial MT"/>
    </font>
    <font>
      <sz val="8"/>
      <color indexed="12"/>
      <name val="P-TIMES"/>
    </font>
    <font>
      <b/>
      <sz val="8"/>
      <color indexed="81"/>
      <name val="Tahoma"/>
    </font>
    <font>
      <sz val="9"/>
      <name val="Arial"/>
    </font>
    <font>
      <sz val="10"/>
      <color indexed="8"/>
      <name val="Arial"/>
      <family val="2"/>
    </font>
    <font>
      <sz val="12"/>
      <name val="Helv"/>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sz val="10"/>
      <color indexed="81"/>
      <name val="Tahoma"/>
      <family val="2"/>
    </font>
    <font>
      <b/>
      <sz val="12"/>
      <color indexed="81"/>
      <name val="Tahoma"/>
      <family val="2"/>
    </font>
    <font>
      <sz val="12"/>
      <color indexed="81"/>
      <name val="Tahoma"/>
      <family val="2"/>
    </font>
    <font>
      <b/>
      <sz val="10"/>
      <color indexed="81"/>
      <name val="Tahoma"/>
      <family val="2"/>
    </font>
    <font>
      <b/>
      <u/>
      <sz val="8"/>
      <color indexed="81"/>
      <name val="Tahoma"/>
      <family val="2"/>
    </font>
    <font>
      <b/>
      <sz val="8"/>
      <color indexed="81"/>
      <name val="Tahoma"/>
      <family val="2"/>
    </font>
    <font>
      <sz val="9"/>
      <name val="Times New Roman"/>
      <family val="1"/>
    </font>
    <font>
      <sz val="9"/>
      <color indexed="12"/>
      <name val="Times New Roman"/>
      <family val="1"/>
    </font>
    <font>
      <sz val="11"/>
      <name val="Times New Roman"/>
      <family val="1"/>
    </font>
    <font>
      <b/>
      <u/>
      <sz val="12"/>
      <name val="Times New Roman"/>
      <family val="1"/>
    </font>
    <font>
      <sz val="9"/>
      <color indexed="9"/>
      <name val="Times New Roman"/>
      <family val="1"/>
    </font>
    <font>
      <sz val="9"/>
      <color indexed="8"/>
      <name val="Times New Roman"/>
      <family val="1"/>
    </font>
    <font>
      <u/>
      <sz val="11"/>
      <name val="Times New Roman"/>
      <family val="1"/>
    </font>
    <font>
      <u/>
      <sz val="9"/>
      <name val="Times New Roman"/>
      <family val="1"/>
    </font>
    <font>
      <b/>
      <u/>
      <sz val="10"/>
      <name val="Times New Roman"/>
      <family val="1"/>
    </font>
    <font>
      <u/>
      <sz val="9"/>
      <color indexed="8"/>
      <name val="Times New Roman"/>
      <family val="1"/>
    </font>
    <font>
      <b/>
      <u/>
      <sz val="9"/>
      <name val="Times New Roman"/>
      <family val="1"/>
    </font>
    <font>
      <u val="singleAccounting"/>
      <sz val="9"/>
      <color indexed="12"/>
      <name val="Times New Roman"/>
      <family val="1"/>
    </font>
    <font>
      <b/>
      <sz val="9"/>
      <name val="Times New Roman"/>
      <family val="1"/>
    </font>
    <font>
      <b/>
      <sz val="9"/>
      <color indexed="8"/>
      <name val="Times New Roman"/>
      <family val="1"/>
    </font>
    <font>
      <i/>
      <sz val="9"/>
      <name val="Times New Roman"/>
      <family val="1"/>
    </font>
    <font>
      <u/>
      <sz val="9"/>
      <color indexed="9"/>
      <name val="Times New Roman"/>
      <family val="1"/>
    </font>
    <font>
      <b/>
      <sz val="9"/>
      <color indexed="12"/>
      <name val="Times New Roman"/>
      <family val="1"/>
    </font>
    <font>
      <sz val="8"/>
      <color indexed="12"/>
      <name val="Times New Roman"/>
      <family val="1"/>
    </font>
    <font>
      <sz val="9"/>
      <color indexed="56"/>
      <name val="Times New Roman"/>
      <family val="1"/>
    </font>
    <font>
      <b/>
      <sz val="10"/>
      <name val="Times New Roman"/>
      <family val="1"/>
    </font>
    <font>
      <u val="singleAccounting"/>
      <sz val="9"/>
      <name val="Times New Roman"/>
      <family val="1"/>
    </font>
    <font>
      <sz val="9"/>
      <color indexed="10"/>
      <name val="Times New Roman"/>
      <family val="1"/>
    </font>
    <font>
      <b/>
      <sz val="12"/>
      <name val="Times New Roman"/>
      <family val="1"/>
    </font>
    <font>
      <sz val="8"/>
      <color indexed="10"/>
      <name val="Times New Roman"/>
      <family val="1"/>
    </font>
    <font>
      <b/>
      <u/>
      <sz val="8"/>
      <name val="Times New Roman"/>
      <family val="1"/>
    </font>
    <font>
      <u/>
      <sz val="10"/>
      <name val="Times New Roman"/>
      <family val="1"/>
    </font>
    <font>
      <b/>
      <sz val="8"/>
      <name val="Times New Roman"/>
      <family val="1"/>
    </font>
    <font>
      <b/>
      <sz val="16"/>
      <name val="Times New Roman"/>
      <family val="1"/>
    </font>
    <font>
      <u/>
      <sz val="8"/>
      <name val="Times New Roman"/>
      <family val="1"/>
    </font>
    <font>
      <i/>
      <sz val="8"/>
      <name val="Times New Roman"/>
      <family val="1"/>
    </font>
    <font>
      <b/>
      <sz val="8"/>
      <color indexed="8"/>
      <name val="Times New Roman"/>
      <family val="1"/>
    </font>
    <font>
      <u val="singleAccounting"/>
      <sz val="8"/>
      <name val="Times New Roman"/>
      <family val="1"/>
    </font>
    <font>
      <b/>
      <i/>
      <u/>
      <sz val="8"/>
      <name val="Times New Roman"/>
      <family val="1"/>
    </font>
    <font>
      <u val="doubleAccounting"/>
      <sz val="8"/>
      <name val="Times New Roman"/>
      <family val="1"/>
    </font>
    <font>
      <sz val="8"/>
      <color indexed="9"/>
      <name val="Times New Roman"/>
      <family val="1"/>
    </font>
    <font>
      <b/>
      <u/>
      <sz val="15"/>
      <color indexed="10"/>
      <name val="Times New Roman"/>
      <family val="1"/>
    </font>
    <font>
      <b/>
      <sz val="8"/>
      <color indexed="10"/>
      <name val="Times New Roman"/>
      <family val="1"/>
    </font>
    <font>
      <b/>
      <sz val="8"/>
      <color indexed="17"/>
      <name val="Times New Roman"/>
      <family val="1"/>
    </font>
    <font>
      <b/>
      <sz val="8"/>
      <color indexed="16"/>
      <name val="Times New Roman"/>
      <family val="1"/>
    </font>
    <font>
      <b/>
      <i/>
      <sz val="8"/>
      <name val="Times New Roman"/>
      <family val="1"/>
    </font>
    <font>
      <sz val="8"/>
      <color indexed="8"/>
      <name val="Times New Roman"/>
      <family val="1"/>
    </font>
    <font>
      <u val="singleAccounting"/>
      <sz val="8"/>
      <color indexed="12"/>
      <name val="Times New Roman"/>
      <family val="1"/>
    </font>
    <font>
      <b/>
      <u/>
      <sz val="12"/>
      <color indexed="8"/>
      <name val="Times New Roman"/>
      <family val="1"/>
    </font>
    <font>
      <sz val="10"/>
      <color indexed="12"/>
      <name val="Arial"/>
    </font>
    <font>
      <sz val="10"/>
      <color indexed="12"/>
      <name val="Times New Roman"/>
      <family val="1"/>
    </font>
    <font>
      <sz val="10"/>
      <color indexed="10"/>
      <name val="Times New Roman"/>
      <family val="1"/>
    </font>
    <font>
      <b/>
      <sz val="10"/>
      <color indexed="12"/>
      <name val="Times New Roman"/>
      <family val="1"/>
    </font>
    <font>
      <b/>
      <u val="singleAccounting"/>
      <sz val="8"/>
      <name val="Times New Roman"/>
      <family val="1"/>
    </font>
    <font>
      <b/>
      <sz val="16"/>
      <color indexed="12"/>
      <name val="Times New Roman"/>
      <family val="1"/>
    </font>
    <font>
      <b/>
      <sz val="8"/>
      <color indexed="12"/>
      <name val="Times New Roman"/>
      <family val="1"/>
    </font>
    <font>
      <u val="singleAccounting"/>
      <sz val="10"/>
      <name val="Times New Roman"/>
      <family val="1"/>
    </font>
    <font>
      <b/>
      <i/>
      <sz val="8"/>
      <color indexed="8"/>
      <name val="Times New Roman"/>
      <family val="1"/>
    </font>
    <font>
      <b/>
      <sz val="8"/>
      <color indexed="48"/>
      <name val="Times New Roman"/>
      <family val="1"/>
    </font>
    <font>
      <b/>
      <sz val="10"/>
      <name val="Arial"/>
      <family val="2"/>
    </font>
    <font>
      <b/>
      <u/>
      <sz val="10"/>
      <name val="Arial"/>
      <family val="2"/>
    </font>
    <font>
      <u/>
      <sz val="10"/>
      <color indexed="8"/>
      <name val="Times New Roman"/>
      <family val="1"/>
    </font>
    <font>
      <sz val="10"/>
      <color indexed="8"/>
      <name val="Times New Roman"/>
      <family val="1"/>
    </font>
    <font>
      <u/>
      <sz val="9"/>
      <color indexed="12"/>
      <name val="Times New Roman"/>
      <family val="1"/>
    </font>
    <font>
      <b/>
      <sz val="11"/>
      <color indexed="10"/>
      <name val="Times New Roman"/>
      <family val="1"/>
    </font>
    <font>
      <u/>
      <sz val="10"/>
      <name val="Arial"/>
    </font>
    <font>
      <b/>
      <u/>
      <sz val="9"/>
      <color indexed="12"/>
      <name val="Times New Roman"/>
      <family val="1"/>
    </font>
    <font>
      <b/>
      <u val="singleAccounting"/>
      <sz val="9"/>
      <color indexed="12"/>
      <name val="Times New Roman"/>
      <family val="1"/>
    </font>
  </fonts>
  <fills count="17">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0"/>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35">
    <xf numFmtId="0" fontId="0" fillId="0" borderId="0"/>
    <xf numFmtId="0" fontId="27"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30"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36" fillId="0" borderId="0" applyNumberFormat="0" applyFill="0" applyBorder="0" applyAlignment="0" applyProtection="0"/>
    <xf numFmtId="14" fontId="2" fillId="0" borderId="0">
      <protection locked="0"/>
    </xf>
    <xf numFmtId="14" fontId="2" fillId="0" borderId="0">
      <protection locked="0"/>
    </xf>
    <xf numFmtId="0" fontId="11" fillId="0" borderId="2" applyNumberFormat="0" applyFill="0" applyAlignment="0" applyProtection="0"/>
    <xf numFmtId="10" fontId="7" fillId="5" borderId="3" applyNumberFormat="0" applyBorder="0" applyAlignment="0" applyProtection="0"/>
    <xf numFmtId="37" fontId="38" fillId="0" borderId="0"/>
    <xf numFmtId="170" fontId="39"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075">
    <xf numFmtId="0" fontId="0" fillId="0" borderId="0" xfId="0"/>
    <xf numFmtId="37" fontId="5" fillId="0" borderId="0" xfId="21" applyAlignment="1"/>
    <xf numFmtId="37" fontId="5" fillId="0" borderId="0" xfId="21" applyAlignment="1">
      <alignment horizontal="right"/>
    </xf>
    <xf numFmtId="37" fontId="5" fillId="0" borderId="0" xfId="21" applyFont="1" applyAlignment="1"/>
    <xf numFmtId="37" fontId="5" fillId="0" borderId="0" xfId="21" applyFill="1" applyAlignment="1"/>
    <xf numFmtId="37" fontId="5" fillId="0" borderId="0" xfId="21" applyFont="1" applyFill="1" applyAlignment="1"/>
    <xf numFmtId="39" fontId="5" fillId="0" borderId="0" xfId="21" applyNumberFormat="1" applyAlignment="1"/>
    <xf numFmtId="43" fontId="0" fillId="0" borderId="0" xfId="0" applyNumberForma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5" fillId="0" borderId="0" xfId="0" applyFont="1"/>
    <xf numFmtId="37" fontId="7" fillId="0" borderId="0" xfId="21" applyFont="1" applyAlignment="1"/>
    <xf numFmtId="206" fontId="15" fillId="0" borderId="0" xfId="3" applyNumberFormat="1" applyFont="1"/>
    <xf numFmtId="167" fontId="9" fillId="0" borderId="0" xfId="0" applyNumberFormat="1" applyFont="1" applyProtection="1">
      <protection locked="0"/>
    </xf>
    <xf numFmtId="0" fontId="8" fillId="0" borderId="0" xfId="0" applyFont="1" applyAlignment="1" applyProtection="1">
      <alignment horizontal="center"/>
      <protection locked="0"/>
    </xf>
    <xf numFmtId="176" fontId="7" fillId="0" borderId="0" xfId="0" applyNumberFormat="1" applyFont="1" applyProtection="1"/>
    <xf numFmtId="39" fontId="7" fillId="0" borderId="0" xfId="0" applyNumberFormat="1" applyFont="1" applyProtection="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16" fillId="0" borderId="0" xfId="0" applyNumberFormat="1" applyFont="1" applyProtection="1"/>
    <xf numFmtId="1" fontId="7" fillId="0" borderId="0" xfId="0" applyNumberFormat="1" applyFont="1" applyBorder="1"/>
    <xf numFmtId="0" fontId="19" fillId="0" borderId="0" xfId="22" applyFont="1"/>
    <xf numFmtId="0" fontId="20" fillId="0" borderId="0" xfId="22" applyFont="1"/>
    <xf numFmtId="0" fontId="19" fillId="0" borderId="0" xfId="22" applyFont="1" applyBorder="1"/>
    <xf numFmtId="171" fontId="19" fillId="0" borderId="0" xfId="22" applyNumberFormat="1" applyFont="1" applyBorder="1"/>
    <xf numFmtId="171" fontId="21" fillId="0" borderId="0" xfId="22" applyNumberFormat="1" applyFont="1" applyBorder="1"/>
    <xf numFmtId="5" fontId="19" fillId="0" borderId="0" xfId="22" applyNumberFormat="1" applyFont="1" applyBorder="1"/>
    <xf numFmtId="173" fontId="20" fillId="0" borderId="0" xfId="22" applyNumberFormat="1" applyFont="1"/>
    <xf numFmtId="10" fontId="7" fillId="0" borderId="0" xfId="23" applyNumberFormat="1" applyFont="1" applyProtection="1"/>
    <xf numFmtId="0" fontId="5" fillId="0" borderId="0" xfId="0" applyFont="1"/>
    <xf numFmtId="206" fontId="17" fillId="0" borderId="0" xfId="3" applyNumberFormat="1" applyFont="1" applyProtection="1"/>
    <xf numFmtId="203" fontId="5" fillId="0" borderId="0" xfId="5" applyNumberFormat="1" applyFont="1" applyProtection="1"/>
    <xf numFmtId="0" fontId="5" fillId="0" borderId="0" xfId="0" applyFont="1" applyBorder="1"/>
    <xf numFmtId="0" fontId="23" fillId="0" borderId="0" xfId="0" applyFont="1"/>
    <xf numFmtId="203" fontId="5" fillId="0" borderId="0" xfId="5" applyNumberFormat="1" applyFont="1"/>
    <xf numFmtId="0" fontId="12" fillId="0" borderId="0" xfId="0" applyFont="1" applyFill="1"/>
    <xf numFmtId="0" fontId="12" fillId="0" borderId="0" xfId="0" applyFont="1"/>
    <xf numFmtId="176" fontId="5" fillId="0" borderId="0" xfId="21" applyNumberFormat="1" applyFill="1" applyAlignment="1"/>
    <xf numFmtId="37" fontId="12" fillId="0" borderId="0" xfId="21" applyFont="1" applyAlignment="1"/>
    <xf numFmtId="43" fontId="7" fillId="0" borderId="0" xfId="3" applyFont="1"/>
    <xf numFmtId="10" fontId="8" fillId="0" borderId="0" xfId="23" applyNumberFormat="1" applyFont="1" applyProtection="1"/>
    <xf numFmtId="0" fontId="2" fillId="0" borderId="0" xfId="0" applyFont="1"/>
    <xf numFmtId="0" fontId="8" fillId="0" borderId="0" xfId="0" applyFont="1"/>
    <xf numFmtId="0" fontId="5" fillId="0" borderId="0" xfId="0" applyFont="1" applyFill="1" applyBorder="1"/>
    <xf numFmtId="0" fontId="82" fillId="0" borderId="0" xfId="0" applyFont="1"/>
    <xf numFmtId="0" fontId="83" fillId="0" borderId="0" xfId="0" applyFont="1" applyAlignment="1">
      <alignment horizontal="right"/>
    </xf>
    <xf numFmtId="0" fontId="73" fillId="0" borderId="0" xfId="0" applyFont="1" applyAlignment="1">
      <alignment horizontal="center"/>
    </xf>
    <xf numFmtId="0" fontId="87" fillId="0" borderId="0" xfId="0" applyFont="1"/>
    <xf numFmtId="0" fontId="82" fillId="0" borderId="0" xfId="0" applyFont="1" applyAlignment="1">
      <alignment horizontal="center"/>
    </xf>
    <xf numFmtId="0" fontId="82" fillId="0" borderId="6" xfId="0" applyFont="1" applyBorder="1" applyAlignment="1" applyProtection="1">
      <alignment horizontal="left"/>
    </xf>
    <xf numFmtId="171" fontId="82" fillId="0" borderId="0" xfId="0" applyNumberFormat="1" applyFont="1" applyBorder="1" applyAlignment="1" applyProtection="1">
      <alignment horizontal="center"/>
    </xf>
    <xf numFmtId="203" fontId="82" fillId="0" borderId="7" xfId="0" applyNumberFormat="1" applyFont="1" applyBorder="1" applyProtection="1"/>
    <xf numFmtId="0" fontId="82" fillId="0" borderId="0" xfId="0" applyFont="1" applyBorder="1"/>
    <xf numFmtId="0" fontId="90" fillId="0" borderId="6" xfId="0" applyFont="1" applyBorder="1"/>
    <xf numFmtId="0" fontId="91" fillId="0" borderId="0" xfId="0" applyFont="1" applyBorder="1" applyAlignment="1">
      <alignment horizontal="center" wrapText="1"/>
    </xf>
    <xf numFmtId="0" fontId="89" fillId="0" borderId="0" xfId="0" applyFont="1" applyBorder="1" applyAlignment="1">
      <alignment horizontal="center"/>
    </xf>
    <xf numFmtId="6" fontId="82" fillId="0" borderId="0" xfId="0" applyNumberFormat="1" applyFont="1" applyBorder="1"/>
    <xf numFmtId="0" fontId="87" fillId="0" borderId="6" xfId="0" applyFont="1" applyBorder="1" applyAlignment="1" applyProtection="1">
      <alignment horizontal="left"/>
    </xf>
    <xf numFmtId="3" fontId="83" fillId="0" borderId="0" xfId="0" applyNumberFormat="1" applyFont="1" applyBorder="1"/>
    <xf numFmtId="197" fontId="82" fillId="0" borderId="0" xfId="0" applyNumberFormat="1" applyFont="1" applyBorder="1" applyAlignment="1">
      <alignment horizontal="right"/>
    </xf>
    <xf numFmtId="6" fontId="89" fillId="0" borderId="0" xfId="0" applyNumberFormat="1" applyFont="1" applyBorder="1"/>
    <xf numFmtId="0" fontId="82" fillId="0" borderId="6" xfId="0" applyFont="1" applyBorder="1" applyAlignment="1" applyProtection="1"/>
    <xf numFmtId="0" fontId="82" fillId="0" borderId="0" xfId="0" applyFont="1" applyBorder="1" applyAlignment="1">
      <alignment horizontal="center"/>
    </xf>
    <xf numFmtId="0" fontId="82" fillId="0" borderId="7" xfId="0" applyFont="1" applyBorder="1" applyAlignment="1" applyProtection="1"/>
    <xf numFmtId="206" fontId="83" fillId="0" borderId="0" xfId="3" applyNumberFormat="1" applyFont="1" applyBorder="1" applyProtection="1">
      <protection locked="0"/>
    </xf>
    <xf numFmtId="197" fontId="89" fillId="0" borderId="0" xfId="0" applyNumberFormat="1" applyFont="1" applyBorder="1"/>
    <xf numFmtId="6" fontId="94" fillId="0" borderId="0" xfId="0" applyNumberFormat="1" applyFont="1" applyBorder="1"/>
    <xf numFmtId="0" fontId="82" fillId="0" borderId="7" xfId="0" applyFont="1" applyBorder="1"/>
    <xf numFmtId="0" fontId="82" fillId="0" borderId="6" xfId="0" applyFont="1" applyBorder="1" applyAlignment="1">
      <alignment horizontal="left"/>
    </xf>
    <xf numFmtId="206" fontId="83" fillId="0" borderId="0" xfId="3" applyNumberFormat="1" applyFont="1" applyBorder="1" applyAlignment="1">
      <alignment horizontal="right"/>
    </xf>
    <xf numFmtId="0" fontId="95" fillId="0" borderId="6" xfId="0" applyFont="1" applyBorder="1" applyAlignment="1" applyProtection="1">
      <alignment horizontal="left"/>
    </xf>
    <xf numFmtId="0" fontId="87" fillId="0" borderId="0" xfId="0" applyFont="1" applyBorder="1"/>
    <xf numFmtId="0" fontId="82" fillId="0" borderId="6" xfId="0" applyFont="1" applyBorder="1" applyAlignment="1">
      <alignment horizontal="center"/>
    </xf>
    <xf numFmtId="0" fontId="82" fillId="0" borderId="6" xfId="0" applyFont="1" applyBorder="1"/>
    <xf numFmtId="317" fontId="82" fillId="0" borderId="0" xfId="0" applyNumberFormat="1" applyFont="1" applyBorder="1"/>
    <xf numFmtId="206" fontId="83" fillId="0" borderId="7" xfId="3" applyNumberFormat="1" applyFont="1" applyBorder="1" applyProtection="1">
      <protection locked="0"/>
    </xf>
    <xf numFmtId="203" fontId="83" fillId="0" borderId="0" xfId="5" applyNumberFormat="1" applyFont="1" applyBorder="1" applyProtection="1">
      <protection locked="0"/>
    </xf>
    <xf numFmtId="38" fontId="82" fillId="0" borderId="7" xfId="0" applyNumberFormat="1" applyFont="1" applyBorder="1"/>
    <xf numFmtId="0" fontId="88" fillId="0" borderId="6" xfId="0" applyFont="1" applyBorder="1" applyAlignment="1" applyProtection="1">
      <alignment horizontal="left"/>
    </xf>
    <xf numFmtId="0" fontId="96" fillId="0" borderId="6" xfId="0" applyFont="1" applyBorder="1" applyAlignment="1" applyProtection="1">
      <alignment horizontal="left"/>
    </xf>
    <xf numFmtId="15" fontId="83" fillId="0" borderId="0" xfId="0" applyNumberFormat="1" applyFont="1" applyBorder="1" applyProtection="1">
      <protection locked="0"/>
    </xf>
    <xf numFmtId="9" fontId="82" fillId="0" borderId="7" xfId="23" applyFont="1" applyBorder="1"/>
    <xf numFmtId="0" fontId="82" fillId="0" borderId="8" xfId="0" applyFont="1" applyBorder="1"/>
    <xf numFmtId="0" fontId="82" fillId="0" borderId="4" xfId="0" applyFont="1" applyBorder="1" applyAlignment="1">
      <alignment horizontal="right"/>
    </xf>
    <xf numFmtId="0" fontId="82" fillId="0" borderId="0" xfId="0" applyFont="1" applyAlignment="1" applyProtection="1">
      <alignment horizontal="left"/>
    </xf>
    <xf numFmtId="0" fontId="89" fillId="0" borderId="0" xfId="0" applyFont="1" applyAlignment="1" applyProtection="1">
      <alignment horizontal="center"/>
    </xf>
    <xf numFmtId="0" fontId="97" fillId="0" borderId="0" xfId="0" applyFont="1" applyAlignment="1" applyProtection="1">
      <alignment horizontal="center"/>
    </xf>
    <xf numFmtId="0" fontId="97" fillId="0" borderId="0" xfId="0" applyFont="1" applyAlignment="1">
      <alignment horizontal="centerContinuous"/>
    </xf>
    <xf numFmtId="0" fontId="95" fillId="0" borderId="8" xfId="0" applyFont="1" applyBorder="1" applyAlignment="1" applyProtection="1">
      <alignment horizontal="left"/>
    </xf>
    <xf numFmtId="0" fontId="87" fillId="0" borderId="4" xfId="0" applyFont="1" applyBorder="1"/>
    <xf numFmtId="10" fontId="83" fillId="0" borderId="4" xfId="23" applyNumberFormat="1" applyFont="1" applyBorder="1"/>
    <xf numFmtId="203" fontId="94" fillId="0" borderId="4" xfId="5" applyNumberFormat="1" applyFont="1" applyBorder="1" applyProtection="1">
      <protection locked="0"/>
    </xf>
    <xf numFmtId="0" fontId="82" fillId="0" borderId="4" xfId="0" applyFont="1" applyBorder="1"/>
    <xf numFmtId="38" fontId="82" fillId="0" borderId="9" xfId="0" applyNumberFormat="1" applyFont="1" applyBorder="1"/>
    <xf numFmtId="0" fontId="87" fillId="0" borderId="0" xfId="0" applyFont="1" applyAlignment="1" applyProtection="1">
      <alignment horizontal="left"/>
    </xf>
    <xf numFmtId="203" fontId="82" fillId="0" borderId="0" xfId="5" applyNumberFormat="1" applyFont="1" applyProtection="1">
      <protection locked="0"/>
    </xf>
    <xf numFmtId="38" fontId="82" fillId="0" borderId="0" xfId="0" applyNumberFormat="1" applyFont="1"/>
    <xf numFmtId="37" fontId="82" fillId="0" borderId="6" xfId="21" applyFont="1" applyBorder="1" applyAlignment="1">
      <alignment horizontal="left"/>
    </xf>
    <xf numFmtId="0" fontId="83" fillId="0" borderId="7" xfId="0" applyFont="1" applyBorder="1"/>
    <xf numFmtId="37" fontId="82" fillId="0" borderId="7" xfId="0" applyNumberFormat="1" applyFont="1" applyBorder="1" applyProtection="1"/>
    <xf numFmtId="0" fontId="91" fillId="0" borderId="6" xfId="0" applyFont="1" applyBorder="1" applyAlignment="1" applyProtection="1">
      <alignment horizontal="left"/>
    </xf>
    <xf numFmtId="206" fontId="83" fillId="0" borderId="0" xfId="3" applyNumberFormat="1" applyFont="1" applyBorder="1" applyProtection="1"/>
    <xf numFmtId="0" fontId="82" fillId="0" borderId="6" xfId="0" applyNumberFormat="1" applyFont="1" applyBorder="1"/>
    <xf numFmtId="0" fontId="82" fillId="0" borderId="0" xfId="0" applyNumberFormat="1" applyFont="1" applyBorder="1"/>
    <xf numFmtId="206" fontId="82" fillId="0" borderId="7" xfId="3" applyNumberFormat="1" applyFont="1" applyBorder="1"/>
    <xf numFmtId="10" fontId="83" fillId="0" borderId="0" xfId="23" applyNumberFormat="1" applyFont="1" applyBorder="1" applyAlignment="1">
      <alignment horizontal="center"/>
    </xf>
    <xf numFmtId="218" fontId="99" fillId="0" borderId="7" xfId="3" applyNumberFormat="1" applyFont="1" applyBorder="1" applyAlignment="1">
      <alignment horizontal="right"/>
    </xf>
    <xf numFmtId="10" fontId="99" fillId="0" borderId="7" xfId="23" applyNumberFormat="1" applyFont="1" applyBorder="1" applyAlignment="1">
      <alignment horizontal="right"/>
    </xf>
    <xf numFmtId="206" fontId="82" fillId="0" borderId="0" xfId="0" applyNumberFormat="1" applyFont="1" applyBorder="1" applyAlignment="1">
      <alignment horizontal="center"/>
    </xf>
    <xf numFmtId="10" fontId="99" fillId="0" borderId="9" xfId="23" applyNumberFormat="1" applyFont="1" applyBorder="1" applyAlignment="1">
      <alignment horizontal="right"/>
    </xf>
    <xf numFmtId="10" fontId="83" fillId="0" borderId="0" xfId="23" applyNumberFormat="1" applyFont="1" applyBorder="1"/>
    <xf numFmtId="203" fontId="82" fillId="0" borderId="0" xfId="5" applyNumberFormat="1" applyFont="1" applyBorder="1"/>
    <xf numFmtId="206" fontId="83" fillId="0" borderId="0" xfId="3" applyNumberFormat="1" applyFont="1" applyBorder="1"/>
    <xf numFmtId="0" fontId="83" fillId="0" borderId="7" xfId="0" applyFont="1" applyBorder="1" applyAlignment="1">
      <alignment horizontal="right"/>
    </xf>
    <xf numFmtId="203" fontId="83" fillId="0" borderId="0" xfId="5" applyNumberFormat="1" applyFont="1" applyBorder="1"/>
    <xf numFmtId="203" fontId="93" fillId="0" borderId="0" xfId="5" applyNumberFormat="1" applyFont="1" applyBorder="1"/>
    <xf numFmtId="0" fontId="87" fillId="0" borderId="0" xfId="0" applyFont="1" applyBorder="1" applyAlignment="1">
      <alignment horizontal="center"/>
    </xf>
    <xf numFmtId="0" fontId="92" fillId="0" borderId="0" xfId="0" applyFont="1" applyBorder="1" applyAlignment="1" applyProtection="1">
      <alignment horizontal="center"/>
    </xf>
    <xf numFmtId="0" fontId="92" fillId="0" borderId="7" xfId="0" applyFont="1" applyBorder="1" applyAlignment="1" applyProtection="1">
      <alignment horizontal="center"/>
    </xf>
    <xf numFmtId="203" fontId="82" fillId="0" borderId="0" xfId="5" applyNumberFormat="1" applyFont="1" applyFill="1" applyBorder="1" applyProtection="1"/>
    <xf numFmtId="203" fontId="82" fillId="0" borderId="0" xfId="5" applyNumberFormat="1" applyFont="1" applyBorder="1" applyProtection="1"/>
    <xf numFmtId="0" fontId="83" fillId="0" borderId="0" xfId="0" applyFont="1" applyBorder="1" applyProtection="1"/>
    <xf numFmtId="0" fontId="83" fillId="0" borderId="0" xfId="0" applyFont="1" applyFill="1" applyBorder="1" applyProtection="1"/>
    <xf numFmtId="0" fontId="87" fillId="0" borderId="6" xfId="0" applyFont="1" applyBorder="1"/>
    <xf numFmtId="10" fontId="83" fillId="0" borderId="0" xfId="0" applyNumberFormat="1" applyFont="1" applyBorder="1"/>
    <xf numFmtId="0" fontId="82" fillId="0" borderId="6" xfId="0" applyFont="1" applyFill="1" applyBorder="1" applyAlignment="1" applyProtection="1"/>
    <xf numFmtId="10" fontId="83" fillId="0" borderId="0" xfId="23" applyNumberFormat="1" applyFont="1" applyFill="1" applyBorder="1" applyProtection="1"/>
    <xf numFmtId="10" fontId="82" fillId="0" borderId="7" xfId="0" applyNumberFormat="1" applyFont="1" applyBorder="1"/>
    <xf numFmtId="0" fontId="87" fillId="0" borderId="8" xfId="0" applyFont="1" applyBorder="1"/>
    <xf numFmtId="2" fontId="83" fillId="0" borderId="0" xfId="0" applyNumberFormat="1" applyFont="1" applyFill="1" applyBorder="1" applyProtection="1"/>
    <xf numFmtId="2" fontId="83" fillId="0" borderId="0" xfId="0" applyNumberFormat="1" applyFont="1" applyFill="1" applyBorder="1" applyAlignment="1" applyProtection="1">
      <alignment horizontal="right"/>
    </xf>
    <xf numFmtId="2" fontId="82" fillId="0" borderId="7" xfId="0" applyNumberFormat="1" applyFont="1" applyBorder="1"/>
    <xf numFmtId="10" fontId="83" fillId="0" borderId="0" xfId="23" applyNumberFormat="1" applyFont="1"/>
    <xf numFmtId="9" fontId="83" fillId="0" borderId="0" xfId="23" applyFont="1" applyBorder="1"/>
    <xf numFmtId="189" fontId="82" fillId="0" borderId="7" xfId="0" applyNumberFormat="1" applyFont="1" applyBorder="1"/>
    <xf numFmtId="0" fontId="45" fillId="0" borderId="0" xfId="0" applyFont="1" applyBorder="1"/>
    <xf numFmtId="0" fontId="82" fillId="0" borderId="8" xfId="0" applyFont="1" applyBorder="1" applyAlignment="1" applyProtection="1"/>
    <xf numFmtId="2" fontId="87" fillId="0" borderId="4" xfId="0" applyNumberFormat="1" applyFont="1" applyBorder="1" applyProtection="1"/>
    <xf numFmtId="2" fontId="87" fillId="0" borderId="4" xfId="0" applyNumberFormat="1" applyFont="1" applyBorder="1" applyAlignment="1" applyProtection="1">
      <alignment horizontal="right"/>
    </xf>
    <xf numFmtId="2" fontId="82" fillId="0" borderId="9" xfId="0" applyNumberFormat="1" applyFont="1" applyBorder="1"/>
    <xf numFmtId="5" fontId="82" fillId="0" borderId="0" xfId="0" applyNumberFormat="1" applyFont="1" applyProtection="1"/>
    <xf numFmtId="43" fontId="82" fillId="0" borderId="0" xfId="0" applyNumberFormat="1" applyFont="1" applyBorder="1"/>
    <xf numFmtId="10" fontId="82" fillId="0" borderId="0" xfId="23" applyNumberFormat="1" applyFont="1" applyBorder="1"/>
    <xf numFmtId="2" fontId="83" fillId="0" borderId="7" xfId="0" applyNumberFormat="1" applyFont="1" applyBorder="1" applyAlignment="1" applyProtection="1">
      <alignment horizontal="right"/>
    </xf>
    <xf numFmtId="206" fontId="82" fillId="0" borderId="7" xfId="3" applyNumberFormat="1" applyFont="1" applyBorder="1" applyAlignment="1" applyProtection="1">
      <alignment horizontal="right"/>
    </xf>
    <xf numFmtId="0" fontId="82" fillId="0" borderId="8" xfId="0" applyFont="1" applyBorder="1" applyAlignment="1" applyProtection="1">
      <alignment horizontal="left"/>
    </xf>
    <xf numFmtId="5" fontId="83" fillId="0" borderId="4" xfId="0" applyNumberFormat="1" applyFont="1" applyBorder="1"/>
    <xf numFmtId="171" fontId="83" fillId="0" borderId="9" xfId="0" applyNumberFormat="1" applyFont="1" applyBorder="1"/>
    <xf numFmtId="43" fontId="89" fillId="0" borderId="0" xfId="0" applyNumberFormat="1" applyFont="1" applyBorder="1"/>
    <xf numFmtId="171" fontId="82" fillId="0" borderId="0" xfId="0" applyNumberFormat="1" applyFont="1" applyBorder="1" applyAlignment="1">
      <alignment horizontal="center"/>
    </xf>
    <xf numFmtId="206" fontId="102" fillId="0" borderId="7" xfId="3" applyNumberFormat="1" applyFont="1" applyBorder="1"/>
    <xf numFmtId="0" fontId="94" fillId="0" borderId="6" xfId="0" applyFont="1" applyBorder="1"/>
    <xf numFmtId="0" fontId="103" fillId="0" borderId="0" xfId="0" applyFont="1" applyBorder="1" applyAlignment="1">
      <alignment horizontal="center"/>
    </xf>
    <xf numFmtId="171" fontId="83" fillId="0" borderId="7" xfId="0" applyNumberFormat="1" applyFont="1" applyBorder="1"/>
    <xf numFmtId="206" fontId="100" fillId="0" borderId="7" xfId="3" applyNumberFormat="1" applyFont="1" applyBorder="1"/>
    <xf numFmtId="206" fontId="83" fillId="0" borderId="9" xfId="0" applyNumberFormat="1" applyFont="1" applyBorder="1"/>
    <xf numFmtId="10" fontId="83" fillId="0" borderId="0" xfId="23" applyNumberFormat="1" applyFont="1" applyBorder="1" applyAlignment="1" applyProtection="1">
      <alignment horizontal="center"/>
      <protection locked="0"/>
    </xf>
    <xf numFmtId="206" fontId="83" fillId="0" borderId="0" xfId="0" applyNumberFormat="1" applyFont="1" applyBorder="1"/>
    <xf numFmtId="171" fontId="83" fillId="0" borderId="0" xfId="23" applyNumberFormat="1" applyFont="1" applyBorder="1" applyAlignment="1" applyProtection="1">
      <alignment horizontal="center"/>
      <protection locked="0"/>
    </xf>
    <xf numFmtId="0" fontId="87" fillId="0" borderId="0" xfId="0" quotePrefix="1" applyFont="1"/>
    <xf numFmtId="171" fontId="83" fillId="0" borderId="0" xfId="23" applyNumberFormat="1" applyFont="1"/>
    <xf numFmtId="0" fontId="94" fillId="0" borderId="0" xfId="0" applyFont="1" applyBorder="1" applyAlignment="1" applyProtection="1">
      <alignment horizontal="center"/>
    </xf>
    <xf numFmtId="0" fontId="94" fillId="0" borderId="7" xfId="0" applyFont="1" applyBorder="1" applyAlignment="1" applyProtection="1">
      <alignment horizontal="center"/>
    </xf>
    <xf numFmtId="171" fontId="83" fillId="0" borderId="0" xfId="23" applyNumberFormat="1" applyFont="1" applyBorder="1" applyAlignment="1">
      <alignment horizontal="center"/>
    </xf>
    <xf numFmtId="0" fontId="92" fillId="0" borderId="6" xfId="0" applyFont="1" applyBorder="1" applyAlignment="1" applyProtection="1">
      <alignment horizontal="center"/>
    </xf>
    <xf numFmtId="0" fontId="89" fillId="0" borderId="0" xfId="0" applyFont="1" applyBorder="1"/>
    <xf numFmtId="0" fontId="82" fillId="0" borderId="6" xfId="0" applyFont="1" applyBorder="1" applyAlignment="1" applyProtection="1">
      <alignment horizontal="center"/>
    </xf>
    <xf numFmtId="10" fontId="82" fillId="0" borderId="0" xfId="0" applyNumberFormat="1" applyFont="1" applyBorder="1" applyAlignment="1" applyProtection="1">
      <alignment horizontal="center"/>
    </xf>
    <xf numFmtId="10" fontId="82" fillId="0" borderId="7" xfId="0" applyNumberFormat="1" applyFont="1" applyBorder="1" applyAlignment="1" applyProtection="1">
      <alignment horizontal="center"/>
    </xf>
    <xf numFmtId="10" fontId="83" fillId="0" borderId="4" xfId="0" quotePrefix="1" applyNumberFormat="1" applyFont="1" applyBorder="1" applyAlignment="1" applyProtection="1">
      <alignment horizontal="right"/>
      <protection locked="0"/>
    </xf>
    <xf numFmtId="10" fontId="87" fillId="0" borderId="0" xfId="20" applyNumberFormat="1" applyFont="1" applyBorder="1" applyProtection="1">
      <protection locked="0"/>
    </xf>
    <xf numFmtId="275" fontId="83" fillId="0" borderId="7" xfId="0" applyNumberFormat="1" applyFont="1" applyBorder="1" applyAlignment="1">
      <alignment horizontal="right"/>
    </xf>
    <xf numFmtId="5" fontId="82" fillId="0" borderId="0" xfId="23" applyNumberFormat="1" applyFont="1" applyBorder="1" applyAlignment="1" applyProtection="1">
      <alignment horizontal="center"/>
    </xf>
    <xf numFmtId="5" fontId="82" fillId="0" borderId="7" xfId="23" applyNumberFormat="1" applyFont="1" applyBorder="1" applyAlignment="1" applyProtection="1">
      <alignment horizontal="center"/>
    </xf>
    <xf numFmtId="0" fontId="82" fillId="0" borderId="8" xfId="0" applyFont="1" applyBorder="1" applyAlignment="1" applyProtection="1">
      <alignment horizontal="center"/>
    </xf>
    <xf numFmtId="0" fontId="82" fillId="0" borderId="4" xfId="0" applyFont="1" applyBorder="1" applyAlignment="1">
      <alignment horizontal="center"/>
    </xf>
    <xf numFmtId="5" fontId="82" fillId="0" borderId="4" xfId="23" applyNumberFormat="1" applyFont="1" applyBorder="1" applyAlignment="1" applyProtection="1">
      <alignment horizontal="center"/>
    </xf>
    <xf numFmtId="5" fontId="82" fillId="0" borderId="9" xfId="23" applyNumberFormat="1" applyFont="1" applyBorder="1" applyAlignment="1" applyProtection="1">
      <alignment horizontal="center"/>
    </xf>
    <xf numFmtId="0" fontId="82" fillId="0" borderId="0" xfId="0" applyFont="1" applyAlignment="1" applyProtection="1">
      <alignment horizontal="center"/>
    </xf>
    <xf numFmtId="5" fontId="82" fillId="0" borderId="0" xfId="23" applyNumberFormat="1" applyFont="1" applyAlignment="1" applyProtection="1">
      <alignment horizontal="center"/>
    </xf>
    <xf numFmtId="275" fontId="83" fillId="0" borderId="7" xfId="0" applyNumberFormat="1" applyFont="1" applyBorder="1"/>
    <xf numFmtId="1" fontId="99" fillId="0" borderId="7" xfId="3" applyNumberFormat="1" applyFont="1" applyBorder="1" applyAlignment="1">
      <alignment horizontal="right"/>
    </xf>
    <xf numFmtId="2" fontId="82" fillId="0" borderId="0" xfId="0" applyNumberFormat="1" applyFont="1"/>
    <xf numFmtId="9" fontId="83" fillId="0" borderId="7" xfId="23" applyFont="1" applyBorder="1"/>
    <xf numFmtId="0" fontId="82" fillId="0" borderId="7" xfId="0" applyFont="1" applyBorder="1" applyAlignment="1">
      <alignment horizontal="right"/>
    </xf>
    <xf numFmtId="0" fontId="83" fillId="0" borderId="9" xfId="0" applyFont="1" applyBorder="1" applyAlignment="1">
      <alignment horizontal="right"/>
    </xf>
    <xf numFmtId="2" fontId="99" fillId="0" borderId="0" xfId="4" applyNumberFormat="1" applyFont="1" applyFill="1" applyBorder="1" applyAlignment="1">
      <alignment horizontal="right"/>
    </xf>
    <xf numFmtId="37" fontId="82" fillId="0" borderId="0" xfId="0" applyNumberFormat="1" applyFont="1"/>
    <xf numFmtId="0" fontId="104" fillId="0" borderId="10" xfId="0" applyFont="1" applyBorder="1"/>
    <xf numFmtId="0" fontId="82" fillId="0" borderId="11" xfId="0" applyFont="1" applyBorder="1"/>
    <xf numFmtId="0" fontId="82" fillId="0" borderId="12" xfId="0" applyFont="1" applyBorder="1"/>
    <xf numFmtId="0" fontId="83" fillId="0" borderId="0" xfId="0" applyFont="1" applyProtection="1"/>
    <xf numFmtId="0" fontId="73" fillId="0" borderId="0" xfId="0" applyFont="1"/>
    <xf numFmtId="0" fontId="105" fillId="10" borderId="0" xfId="0" applyFont="1" applyFill="1" applyAlignment="1">
      <alignment vertical="top" wrapText="1"/>
    </xf>
    <xf numFmtId="0" fontId="82" fillId="0" borderId="13" xfId="0" applyFont="1" applyBorder="1"/>
    <xf numFmtId="0" fontId="82" fillId="0" borderId="14" xfId="0" applyFont="1" applyBorder="1"/>
    <xf numFmtId="0" fontId="83" fillId="0" borderId="0" xfId="0" applyFont="1" applyProtection="1">
      <protection locked="0"/>
    </xf>
    <xf numFmtId="0" fontId="82" fillId="11" borderId="0" xfId="0" applyFont="1" applyFill="1"/>
    <xf numFmtId="0" fontId="73" fillId="0" borderId="0" xfId="0" applyFont="1" applyAlignment="1">
      <alignment vertical="top" wrapText="1"/>
    </xf>
    <xf numFmtId="203" fontId="82" fillId="0" borderId="0" xfId="0" applyNumberFormat="1" applyFont="1" applyBorder="1"/>
    <xf numFmtId="275" fontId="82" fillId="12" borderId="0" xfId="0" applyNumberFormat="1" applyFont="1" applyFill="1" applyAlignment="1">
      <alignment horizontal="right"/>
    </xf>
    <xf numFmtId="203" fontId="82" fillId="0" borderId="15" xfId="0" applyNumberFormat="1" applyFont="1" applyBorder="1"/>
    <xf numFmtId="0" fontId="82" fillId="13" borderId="0" xfId="0" applyFont="1" applyFill="1"/>
    <xf numFmtId="0" fontId="82" fillId="0" borderId="16" xfId="0" applyFont="1" applyBorder="1" applyAlignment="1" applyProtection="1">
      <alignment horizontal="left"/>
    </xf>
    <xf numFmtId="206" fontId="82" fillId="0" borderId="15" xfId="0" applyNumberFormat="1" applyFont="1" applyBorder="1"/>
    <xf numFmtId="0" fontId="82" fillId="0" borderId="15" xfId="0" applyFont="1" applyBorder="1"/>
    <xf numFmtId="0" fontId="82" fillId="0" borderId="17" xfId="0" applyFont="1" applyBorder="1"/>
    <xf numFmtId="0" fontId="82" fillId="8" borderId="0" xfId="0" applyFont="1" applyFill="1"/>
    <xf numFmtId="203" fontId="82" fillId="0" borderId="0" xfId="0" applyNumberFormat="1" applyFont="1"/>
    <xf numFmtId="0" fontId="82" fillId="14" borderId="0" xfId="0" applyFont="1" applyFill="1"/>
    <xf numFmtId="0" fontId="104" fillId="0" borderId="18" xfId="0" applyFont="1" applyBorder="1" applyAlignment="1" applyProtection="1">
      <alignment horizontal="center"/>
    </xf>
    <xf numFmtId="0" fontId="104" fillId="0" borderId="12" xfId="0" applyFont="1" applyBorder="1" applyAlignment="1" applyProtection="1">
      <alignment horizontal="center"/>
    </xf>
    <xf numFmtId="203" fontId="104" fillId="0" borderId="18" xfId="0" applyNumberFormat="1" applyFont="1" applyBorder="1" applyAlignment="1">
      <alignment horizontal="center"/>
    </xf>
    <xf numFmtId="203" fontId="104" fillId="0" borderId="12" xfId="0" applyNumberFormat="1" applyFont="1" applyBorder="1" applyAlignment="1">
      <alignment horizontal="center"/>
    </xf>
    <xf numFmtId="206" fontId="104" fillId="0" borderId="11" xfId="3" applyNumberFormat="1" applyFont="1" applyBorder="1" applyAlignment="1">
      <alignment horizontal="center"/>
    </xf>
    <xf numFmtId="206" fontId="104" fillId="0" borderId="12" xfId="3" applyNumberFormat="1" applyFont="1" applyBorder="1" applyAlignment="1">
      <alignment horizontal="center"/>
    </xf>
    <xf numFmtId="43" fontId="45" fillId="0" borderId="10" xfId="5" applyNumberFormat="1" applyFont="1" applyBorder="1" applyAlignment="1" applyProtection="1">
      <alignment horizontal="center"/>
    </xf>
    <xf numFmtId="203" fontId="45" fillId="0" borderId="10" xfId="5" applyNumberFormat="1" applyFont="1" applyBorder="1" applyAlignment="1">
      <alignment horizontal="center"/>
    </xf>
    <xf numFmtId="0" fontId="82" fillId="0" borderId="0" xfId="0" applyFont="1" applyAlignment="1">
      <alignment horizontal="right"/>
    </xf>
    <xf numFmtId="0" fontId="82" fillId="0" borderId="0" xfId="0" applyFont="1" applyAlignment="1" applyProtection="1"/>
    <xf numFmtId="0" fontId="89" fillId="0" borderId="0" xfId="0" applyFont="1"/>
    <xf numFmtId="0" fontId="82" fillId="0" borderId="9" xfId="0" applyFont="1" applyBorder="1"/>
    <xf numFmtId="10" fontId="83" fillId="0" borderId="0" xfId="0" applyNumberFormat="1" applyFont="1" applyBorder="1" applyProtection="1">
      <protection locked="0"/>
    </xf>
    <xf numFmtId="174" fontId="83" fillId="0" borderId="7" xfId="0" applyNumberFormat="1" applyFont="1" applyBorder="1" applyProtection="1">
      <protection locked="0"/>
    </xf>
    <xf numFmtId="0" fontId="87" fillId="0" borderId="8" xfId="0" applyFont="1" applyBorder="1" applyAlignment="1" applyProtection="1">
      <alignment horizontal="left"/>
    </xf>
    <xf numFmtId="9" fontId="83" fillId="0" borderId="4" xfId="0" quotePrefix="1" applyNumberFormat="1" applyFont="1" applyBorder="1" applyAlignment="1" applyProtection="1">
      <alignment horizontal="right"/>
      <protection locked="0"/>
    </xf>
    <xf numFmtId="206" fontId="83" fillId="0" borderId="4" xfId="0" quotePrefix="1" applyNumberFormat="1" applyFont="1" applyBorder="1" applyAlignment="1" applyProtection="1">
      <alignment horizontal="right"/>
      <protection locked="0"/>
    </xf>
    <xf numFmtId="174" fontId="83" fillId="0" borderId="9" xfId="0" applyNumberFormat="1" applyFont="1" applyBorder="1" applyProtection="1">
      <protection locked="0"/>
    </xf>
    <xf numFmtId="42" fontId="82" fillId="0" borderId="7" xfId="0" applyNumberFormat="1" applyFont="1" applyBorder="1"/>
    <xf numFmtId="2" fontId="82" fillId="0" borderId="6" xfId="21" applyNumberFormat="1" applyFont="1" applyBorder="1" applyAlignment="1">
      <alignment horizontal="left"/>
    </xf>
    <xf numFmtId="2" fontId="82" fillId="0" borderId="0" xfId="0" applyNumberFormat="1" applyFont="1" applyBorder="1"/>
    <xf numFmtId="2" fontId="82" fillId="0" borderId="8" xfId="21" applyNumberFormat="1" applyFont="1" applyBorder="1" applyAlignment="1">
      <alignment horizontal="left"/>
    </xf>
    <xf numFmtId="2" fontId="82" fillId="0" borderId="4" xfId="0" applyNumberFormat="1" applyFont="1" applyBorder="1"/>
    <xf numFmtId="1" fontId="83" fillId="0" borderId="4" xfId="0" applyNumberFormat="1" applyFont="1" applyBorder="1" applyAlignment="1">
      <alignment horizontal="center"/>
    </xf>
    <xf numFmtId="0" fontId="45" fillId="0" borderId="0" xfId="0" applyFont="1"/>
    <xf numFmtId="0" fontId="101" fillId="0" borderId="0" xfId="0" applyFont="1"/>
    <xf numFmtId="37" fontId="73" fillId="0" borderId="0" xfId="0" applyNumberFormat="1" applyFont="1"/>
    <xf numFmtId="206" fontId="73" fillId="0" borderId="0" xfId="3" applyNumberFormat="1" applyFont="1"/>
    <xf numFmtId="37" fontId="45" fillId="0" borderId="0" xfId="0" applyNumberFormat="1" applyFont="1"/>
    <xf numFmtId="38" fontId="45" fillId="0" borderId="0" xfId="0" applyNumberFormat="1" applyFont="1"/>
    <xf numFmtId="0" fontId="73" fillId="0" borderId="0" xfId="0" applyFont="1" applyBorder="1"/>
    <xf numFmtId="206" fontId="108" fillId="0" borderId="0" xfId="3" applyNumberFormat="1" applyFont="1" applyBorder="1"/>
    <xf numFmtId="0" fontId="45" fillId="0" borderId="19" xfId="0" applyFont="1" applyBorder="1"/>
    <xf numFmtId="167" fontId="89" fillId="0" borderId="0" xfId="0" applyNumberFormat="1" applyFont="1" applyProtection="1"/>
    <xf numFmtId="37" fontId="73" fillId="0" borderId="0" xfId="21" applyFont="1" applyAlignment="1"/>
    <xf numFmtId="37" fontId="73" fillId="0" borderId="0" xfId="21" applyFont="1" applyAlignment="1">
      <alignment horizontal="right"/>
    </xf>
    <xf numFmtId="167" fontId="106" fillId="0" borderId="0" xfId="0" applyNumberFormat="1" applyFont="1" applyProtection="1"/>
    <xf numFmtId="0" fontId="73" fillId="0" borderId="0" xfId="0" applyFont="1" applyFill="1"/>
    <xf numFmtId="9" fontId="73" fillId="0" borderId="0" xfId="23" applyFont="1"/>
    <xf numFmtId="205" fontId="73" fillId="0" borderId="0" xfId="0" applyNumberFormat="1" applyFont="1"/>
    <xf numFmtId="6" fontId="73" fillId="0" borderId="0" xfId="0" applyNumberFormat="1" applyFont="1"/>
    <xf numFmtId="1" fontId="73" fillId="0" borderId="0" xfId="0" applyNumberFormat="1" applyFont="1"/>
    <xf numFmtId="37" fontId="111" fillId="0" borderId="0" xfId="21" applyFont="1" applyFill="1" applyAlignment="1">
      <alignment horizontal="right"/>
    </xf>
    <xf numFmtId="41" fontId="73" fillId="0" borderId="0" xfId="6" applyNumberFormat="1" applyFont="1" applyFill="1"/>
    <xf numFmtId="37" fontId="73" fillId="0" borderId="0" xfId="21" applyFont="1" applyFill="1" applyAlignment="1"/>
    <xf numFmtId="37" fontId="73" fillId="0" borderId="0" xfId="21" applyNumberFormat="1" applyFont="1" applyAlignment="1"/>
    <xf numFmtId="0" fontId="73" fillId="0" borderId="0" xfId="0" applyFont="1" applyAlignment="1" applyProtection="1">
      <alignment horizontal="left"/>
    </xf>
    <xf numFmtId="172" fontId="99" fillId="0" borderId="0" xfId="0" applyNumberFormat="1" applyFont="1" applyProtection="1">
      <protection locked="0"/>
    </xf>
    <xf numFmtId="0" fontId="73" fillId="0" borderId="0" xfId="0" applyFont="1" applyProtection="1"/>
    <xf numFmtId="203" fontId="73" fillId="0" borderId="0" xfId="5" applyNumberFormat="1" applyFont="1"/>
    <xf numFmtId="206" fontId="73" fillId="0" borderId="0" xfId="3" applyNumberFormat="1" applyFont="1" applyProtection="1"/>
    <xf numFmtId="203" fontId="73" fillId="0" borderId="0" xfId="5" applyNumberFormat="1" applyFont="1" applyProtection="1"/>
    <xf numFmtId="37" fontId="73" fillId="0" borderId="0" xfId="0" applyNumberFormat="1" applyFont="1" applyProtection="1"/>
    <xf numFmtId="0" fontId="101" fillId="0" borderId="0" xfId="0" applyFont="1" applyAlignment="1"/>
    <xf numFmtId="0" fontId="45" fillId="0" borderId="0" xfId="0" applyFont="1" applyAlignment="1">
      <alignment horizontal="centerContinuous"/>
    </xf>
    <xf numFmtId="10" fontId="45" fillId="0" borderId="0" xfId="23" applyNumberFormat="1" applyFont="1"/>
    <xf numFmtId="37" fontId="104" fillId="0" borderId="0" xfId="21" applyFont="1" applyAlignment="1">
      <alignment horizontal="left"/>
    </xf>
    <xf numFmtId="39" fontId="73" fillId="0" borderId="0" xfId="21" applyNumberFormat="1" applyFont="1" applyAlignment="1"/>
    <xf numFmtId="37" fontId="108" fillId="0" borderId="0" xfId="21" applyFont="1" applyAlignment="1"/>
    <xf numFmtId="203" fontId="73" fillId="0" borderId="0" xfId="5" applyNumberFormat="1" applyFont="1" applyBorder="1" applyProtection="1"/>
    <xf numFmtId="41" fontId="113" fillId="0" borderId="0" xfId="0" applyNumberFormat="1" applyFont="1" applyBorder="1" applyProtection="1"/>
    <xf numFmtId="41" fontId="73" fillId="0" borderId="0" xfId="0" applyNumberFormat="1" applyFont="1" applyBorder="1" applyProtection="1"/>
    <xf numFmtId="206" fontId="73" fillId="0" borderId="0" xfId="3" applyNumberFormat="1" applyFont="1" applyBorder="1" applyProtection="1"/>
    <xf numFmtId="1" fontId="73" fillId="0" borderId="0" xfId="0" applyNumberFormat="1" applyFont="1" applyBorder="1"/>
    <xf numFmtId="41" fontId="113" fillId="0" borderId="0" xfId="0" applyNumberFormat="1" applyFont="1" applyBorder="1"/>
    <xf numFmtId="37" fontId="73" fillId="0" borderId="0" xfId="0" applyNumberFormat="1" applyFont="1" applyBorder="1" applyProtection="1"/>
    <xf numFmtId="10" fontId="110" fillId="0" borderId="0" xfId="0" applyNumberFormat="1" applyFont="1" applyBorder="1"/>
    <xf numFmtId="41" fontId="73" fillId="0" borderId="0" xfId="0" applyNumberFormat="1" applyFont="1" applyBorder="1"/>
    <xf numFmtId="0" fontId="73" fillId="0" borderId="0" xfId="0" applyFont="1" applyBorder="1" applyAlignment="1" applyProtection="1">
      <alignment horizontal="left"/>
    </xf>
    <xf numFmtId="0" fontId="108" fillId="0" borderId="0" xfId="0" applyFont="1"/>
    <xf numFmtId="42" fontId="108" fillId="0" borderId="0" xfId="0" applyNumberFormat="1" applyFont="1"/>
    <xf numFmtId="203" fontId="73" fillId="0" borderId="0" xfId="0" applyNumberFormat="1" applyFont="1" applyBorder="1" applyProtection="1"/>
    <xf numFmtId="0" fontId="73" fillId="0" borderId="0" xfId="0" applyFont="1" applyBorder="1" applyProtection="1"/>
    <xf numFmtId="206" fontId="73" fillId="0" borderId="0" xfId="3" applyNumberFormat="1" applyFont="1" applyBorder="1"/>
    <xf numFmtId="0" fontId="73" fillId="0" borderId="0" xfId="0" applyFont="1" applyBorder="1" applyAlignment="1" applyProtection="1">
      <alignment horizontal="right"/>
    </xf>
    <xf numFmtId="37" fontId="73" fillId="0" borderId="0" xfId="0" applyNumberFormat="1" applyFont="1" applyBorder="1"/>
    <xf numFmtId="0" fontId="116" fillId="0" borderId="0" xfId="0" applyFont="1" applyBorder="1" applyProtection="1"/>
    <xf numFmtId="206" fontId="113" fillId="0" borderId="0" xfId="3" applyNumberFormat="1" applyFont="1" applyBorder="1" applyProtection="1"/>
    <xf numFmtId="0" fontId="108" fillId="0" borderId="0" xfId="0" applyFont="1" applyBorder="1"/>
    <xf numFmtId="8" fontId="73" fillId="0" borderId="0" xfId="0" applyNumberFormat="1" applyFont="1"/>
    <xf numFmtId="43" fontId="73" fillId="0" borderId="0" xfId="3" applyFont="1"/>
    <xf numFmtId="38" fontId="101" fillId="0" borderId="19" xfId="0" applyNumberFormat="1" applyFont="1" applyBorder="1"/>
    <xf numFmtId="38" fontId="73" fillId="0" borderId="0" xfId="0" applyNumberFormat="1" applyFont="1"/>
    <xf numFmtId="0" fontId="117" fillId="0" borderId="0" xfId="0" applyFont="1" applyAlignment="1">
      <alignment vertical="top" wrapText="1"/>
    </xf>
    <xf numFmtId="0" fontId="118" fillId="0" borderId="0" xfId="0" applyFont="1" applyAlignment="1">
      <alignment vertical="top" wrapText="1"/>
    </xf>
    <xf numFmtId="0" fontId="119" fillId="0" borderId="20" xfId="0" applyFont="1" applyBorder="1"/>
    <xf numFmtId="5" fontId="120" fillId="0" borderId="21" xfId="0" applyNumberFormat="1" applyFont="1" applyBorder="1"/>
    <xf numFmtId="0" fontId="119" fillId="0" borderId="8" xfId="0" applyFont="1" applyBorder="1"/>
    <xf numFmtId="5" fontId="120" fillId="0" borderId="9" xfId="0" applyNumberFormat="1" applyFont="1" applyBorder="1"/>
    <xf numFmtId="0" fontId="119" fillId="0" borderId="0" xfId="0" applyFont="1" applyBorder="1"/>
    <xf numFmtId="0" fontId="119" fillId="0" borderId="0" xfId="0" applyFont="1"/>
    <xf numFmtId="0" fontId="99" fillId="0" borderId="0" xfId="0" applyFont="1"/>
    <xf numFmtId="0" fontId="121" fillId="0" borderId="0" xfId="0" applyFont="1"/>
    <xf numFmtId="0" fontId="89" fillId="0" borderId="6" xfId="0" applyFont="1" applyBorder="1"/>
    <xf numFmtId="206" fontId="89" fillId="0" borderId="7" xfId="3" applyNumberFormat="1" applyFont="1" applyBorder="1"/>
    <xf numFmtId="206" fontId="83" fillId="15" borderId="7" xfId="3" applyNumberFormat="1" applyFont="1" applyFill="1" applyBorder="1"/>
    <xf numFmtId="203" fontId="83" fillId="15" borderId="0" xfId="5" applyNumberFormat="1" applyFont="1" applyFill="1" applyBorder="1" applyProtection="1">
      <protection locked="0"/>
    </xf>
    <xf numFmtId="203" fontId="93" fillId="15" borderId="0" xfId="5" applyNumberFormat="1" applyFont="1" applyFill="1" applyBorder="1" applyProtection="1">
      <protection locked="0"/>
    </xf>
    <xf numFmtId="203" fontId="83" fillId="15" borderId="0" xfId="5" applyNumberFormat="1" applyFont="1" applyFill="1" applyBorder="1"/>
    <xf numFmtId="203" fontId="93" fillId="15" borderId="0" xfId="5" applyNumberFormat="1" applyFont="1" applyFill="1" applyBorder="1"/>
    <xf numFmtId="206" fontId="82" fillId="15" borderId="7" xfId="3" applyNumberFormat="1" applyFont="1" applyFill="1" applyBorder="1" applyProtection="1"/>
    <xf numFmtId="206" fontId="100" fillId="15" borderId="7" xfId="3" applyNumberFormat="1" applyFont="1" applyFill="1" applyBorder="1" applyProtection="1"/>
    <xf numFmtId="206" fontId="82" fillId="15" borderId="7" xfId="3" applyNumberFormat="1" applyFont="1" applyFill="1" applyBorder="1"/>
    <xf numFmtId="0" fontId="82" fillId="15" borderId="7" xfId="0" applyFont="1" applyFill="1" applyBorder="1"/>
    <xf numFmtId="206" fontId="83" fillId="14" borderId="0" xfId="3" applyNumberFormat="1" applyFont="1" applyFill="1" applyBorder="1" applyProtection="1">
      <protection locked="0"/>
    </xf>
    <xf numFmtId="206" fontId="83" fillId="14" borderId="7" xfId="3" applyNumberFormat="1" applyFont="1" applyFill="1" applyBorder="1" applyProtection="1">
      <protection locked="0"/>
    </xf>
    <xf numFmtId="38" fontId="82" fillId="0" borderId="0" xfId="0" applyNumberFormat="1" applyFont="1" applyBorder="1" applyAlignment="1">
      <alignment horizontal="right"/>
    </xf>
    <xf numFmtId="317" fontId="94" fillId="0" borderId="4" xfId="0" applyNumberFormat="1" applyFont="1" applyBorder="1"/>
    <xf numFmtId="0" fontId="83" fillId="0" borderId="4" xfId="0" applyFont="1" applyBorder="1"/>
    <xf numFmtId="0" fontId="15" fillId="0" borderId="0" xfId="0" applyFont="1" applyBorder="1"/>
    <xf numFmtId="14" fontId="108" fillId="0" borderId="0" xfId="0" applyNumberFormat="1" applyFont="1"/>
    <xf numFmtId="206" fontId="98" fillId="0" borderId="7" xfId="3" applyNumberFormat="1" applyFont="1" applyBorder="1" applyProtection="1">
      <protection locked="0"/>
    </xf>
    <xf numFmtId="10" fontId="83" fillId="14" borderId="0" xfId="0" applyNumberFormat="1" applyFont="1" applyFill="1" applyBorder="1" applyProtection="1">
      <protection locked="0"/>
    </xf>
    <xf numFmtId="0" fontId="14" fillId="0" borderId="0" xfId="0" applyFont="1" applyBorder="1"/>
    <xf numFmtId="203" fontId="108" fillId="0" borderId="0" xfId="5" applyNumberFormat="1" applyFont="1" applyBorder="1" applyProtection="1"/>
    <xf numFmtId="206" fontId="14" fillId="0" borderId="0" xfId="3" applyNumberFormat="1" applyFont="1" applyBorder="1"/>
    <xf numFmtId="38" fontId="73" fillId="0" borderId="0" xfId="5" applyNumberFormat="1" applyFont="1" applyBorder="1" applyProtection="1"/>
    <xf numFmtId="203" fontId="73" fillId="0" borderId="0" xfId="5" applyNumberFormat="1" applyFont="1" applyBorder="1" applyAlignment="1" applyProtection="1">
      <alignment horizontal="center"/>
    </xf>
    <xf numFmtId="206" fontId="99" fillId="0" borderId="22" xfId="3" applyNumberFormat="1" applyFont="1" applyBorder="1" applyProtection="1"/>
    <xf numFmtId="206" fontId="99" fillId="0" borderId="19" xfId="3" applyNumberFormat="1" applyFont="1" applyBorder="1" applyProtection="1"/>
    <xf numFmtId="206" fontId="99" fillId="0" borderId="23" xfId="3" applyNumberFormat="1" applyFont="1" applyBorder="1" applyProtection="1"/>
    <xf numFmtId="0" fontId="108" fillId="0" borderId="22" xfId="0" applyFont="1" applyBorder="1"/>
    <xf numFmtId="0" fontId="73" fillId="0" borderId="19" xfId="0" applyFont="1" applyBorder="1"/>
    <xf numFmtId="42" fontId="108" fillId="0" borderId="19" xfId="0" applyNumberFormat="1" applyFont="1" applyBorder="1"/>
    <xf numFmtId="42" fontId="108" fillId="0" borderId="23" xfId="0" applyNumberFormat="1" applyFont="1" applyBorder="1"/>
    <xf numFmtId="41" fontId="108" fillId="0" borderId="0" xfId="0" applyNumberFormat="1" applyFont="1" applyBorder="1" applyProtection="1"/>
    <xf numFmtId="37" fontId="108" fillId="0" borderId="19" xfId="21" applyFont="1" applyBorder="1" applyAlignment="1"/>
    <xf numFmtId="0" fontId="5" fillId="0" borderId="19" xfId="0" applyFont="1" applyBorder="1"/>
    <xf numFmtId="206" fontId="73" fillId="0" borderId="19" xfId="3" quotePrefix="1" applyNumberFormat="1" applyFont="1" applyBorder="1" applyProtection="1"/>
    <xf numFmtId="206" fontId="73" fillId="0" borderId="23" xfId="3" quotePrefix="1" applyNumberFormat="1" applyFont="1" applyBorder="1" applyProtection="1"/>
    <xf numFmtId="0" fontId="85" fillId="0" borderId="6" xfId="0" applyFont="1" applyBorder="1" applyAlignment="1" applyProtection="1">
      <alignment horizontal="left"/>
    </xf>
    <xf numFmtId="5" fontId="82" fillId="0" borderId="7" xfId="0" applyNumberFormat="1" applyFont="1" applyBorder="1" applyProtection="1"/>
    <xf numFmtId="0" fontId="85" fillId="4" borderId="20" xfId="0" applyFont="1" applyFill="1" applyBorder="1" applyAlignment="1" applyProtection="1">
      <alignment horizontal="left"/>
    </xf>
    <xf numFmtId="0" fontId="82" fillId="4" borderId="24" xfId="0" applyFont="1" applyFill="1" applyBorder="1"/>
    <xf numFmtId="0" fontId="82" fillId="4" borderId="21" xfId="0" applyFont="1" applyFill="1" applyBorder="1"/>
    <xf numFmtId="0" fontId="94" fillId="0" borderId="8" xfId="0" applyFont="1" applyBorder="1" applyAlignment="1" applyProtection="1">
      <alignment horizontal="left"/>
    </xf>
    <xf numFmtId="0" fontId="95" fillId="0" borderId="4" xfId="0" applyFont="1" applyBorder="1" applyAlignment="1">
      <alignment horizontal="center"/>
    </xf>
    <xf numFmtId="203" fontId="95" fillId="0" borderId="9" xfId="5" applyNumberFormat="1" applyFont="1" applyBorder="1"/>
    <xf numFmtId="206" fontId="83" fillId="14" borderId="0" xfId="3" applyNumberFormat="1" applyFont="1" applyFill="1" applyBorder="1" applyAlignment="1">
      <alignment horizontal="right"/>
    </xf>
    <xf numFmtId="9" fontId="86" fillId="0" borderId="7" xfId="23" applyFont="1" applyBorder="1"/>
    <xf numFmtId="206" fontId="83" fillId="14" borderId="7" xfId="3" applyNumberFormat="1" applyFont="1" applyFill="1" applyBorder="1" applyAlignment="1">
      <alignment horizontal="right"/>
    </xf>
    <xf numFmtId="5" fontId="82" fillId="0" borderId="4" xfId="5" applyNumberFormat="1" applyFont="1" applyBorder="1" applyAlignment="1">
      <alignment horizontal="center"/>
    </xf>
    <xf numFmtId="5" fontId="82" fillId="0" borderId="9" xfId="5" applyNumberFormat="1" applyFont="1" applyBorder="1" applyAlignment="1">
      <alignment horizontal="center"/>
    </xf>
    <xf numFmtId="9" fontId="86" fillId="4" borderId="21" xfId="23" applyFont="1" applyFill="1" applyBorder="1"/>
    <xf numFmtId="0" fontId="83" fillId="4" borderId="21" xfId="0" applyFont="1" applyFill="1" applyBorder="1" applyProtection="1"/>
    <xf numFmtId="166" fontId="82" fillId="4" borderId="24" xfId="0" applyNumberFormat="1" applyFont="1" applyFill="1" applyBorder="1" applyProtection="1"/>
    <xf numFmtId="2" fontId="83" fillId="4" borderId="21" xfId="0" applyNumberFormat="1" applyFont="1" applyFill="1" applyBorder="1" applyProtection="1"/>
    <xf numFmtId="9" fontId="98" fillId="0" borderId="7" xfId="23" applyFont="1" applyBorder="1" applyAlignment="1">
      <alignment horizontal="center"/>
    </xf>
    <xf numFmtId="0" fontId="85" fillId="4" borderId="20" xfId="0" applyFont="1" applyFill="1" applyBorder="1"/>
    <xf numFmtId="38" fontId="82" fillId="4" borderId="21" xfId="0" applyNumberFormat="1" applyFont="1" applyFill="1" applyBorder="1"/>
    <xf numFmtId="0" fontId="87" fillId="4" borderId="24" xfId="0" applyFont="1" applyFill="1" applyBorder="1"/>
    <xf numFmtId="203" fontId="83" fillId="4" borderId="24" xfId="5" applyNumberFormat="1" applyFont="1" applyFill="1" applyBorder="1" applyProtection="1">
      <protection locked="0"/>
    </xf>
    <xf numFmtId="317" fontId="82" fillId="4" borderId="24" xfId="0" applyNumberFormat="1" applyFont="1" applyFill="1" applyBorder="1"/>
    <xf numFmtId="0" fontId="82" fillId="4" borderId="21" xfId="0" applyFont="1" applyFill="1" applyBorder="1" applyAlignment="1">
      <alignment horizontal="center"/>
    </xf>
    <xf numFmtId="0" fontId="124" fillId="4" borderId="20" xfId="0" applyFont="1" applyFill="1" applyBorder="1"/>
    <xf numFmtId="0" fontId="45" fillId="4" borderId="24" xfId="0" applyFont="1" applyFill="1" applyBorder="1"/>
    <xf numFmtId="10" fontId="83" fillId="4" borderId="24" xfId="23" applyNumberFormat="1" applyFont="1" applyFill="1" applyBorder="1"/>
    <xf numFmtId="174" fontId="125" fillId="0" borderId="0" xfId="23" applyNumberFormat="1" applyFont="1"/>
    <xf numFmtId="174" fontId="13" fillId="0" borderId="0" xfId="23" applyNumberFormat="1" applyFont="1"/>
    <xf numFmtId="174" fontId="73" fillId="0" borderId="0" xfId="0" applyNumberFormat="1" applyFont="1"/>
    <xf numFmtId="206" fontId="103" fillId="0" borderId="0" xfId="0" applyNumberFormat="1" applyFont="1" applyBorder="1"/>
    <xf numFmtId="171" fontId="83" fillId="14" borderId="0" xfId="23" applyNumberFormat="1" applyFont="1" applyFill="1" applyBorder="1" applyAlignment="1">
      <alignment horizontal="center"/>
    </xf>
    <xf numFmtId="10" fontId="83" fillId="8" borderId="0" xfId="23" applyNumberFormat="1" applyFont="1" applyFill="1" applyBorder="1" applyAlignment="1">
      <alignment horizontal="center"/>
    </xf>
    <xf numFmtId="10" fontId="83" fillId="14" borderId="0" xfId="23" applyNumberFormat="1" applyFont="1" applyFill="1" applyBorder="1" applyAlignment="1">
      <alignment horizontal="center"/>
    </xf>
    <xf numFmtId="0" fontId="108" fillId="0" borderId="3" xfId="0" applyFont="1" applyBorder="1" applyAlignment="1">
      <alignment horizontal="center"/>
    </xf>
    <xf numFmtId="38" fontId="73" fillId="0" borderId="3" xfId="0" applyNumberFormat="1" applyFont="1" applyBorder="1"/>
    <xf numFmtId="0" fontId="101" fillId="0" borderId="20" xfId="0" applyFont="1" applyBorder="1"/>
    <xf numFmtId="0" fontId="101" fillId="0" borderId="24" xfId="0" applyFont="1" applyBorder="1"/>
    <xf numFmtId="0" fontId="101" fillId="0" borderId="21" xfId="0" applyFont="1" applyBorder="1"/>
    <xf numFmtId="38" fontId="45" fillId="0" borderId="6" xfId="0" applyNumberFormat="1" applyFont="1" applyBorder="1"/>
    <xf numFmtId="38" fontId="45" fillId="0" borderId="0" xfId="0" applyNumberFormat="1" applyFont="1" applyBorder="1"/>
    <xf numFmtId="38" fontId="45" fillId="0" borderId="7" xfId="0" applyNumberFormat="1" applyFont="1" applyBorder="1"/>
    <xf numFmtId="38" fontId="45" fillId="0" borderId="8" xfId="0" applyNumberFormat="1" applyFont="1" applyBorder="1"/>
    <xf numFmtId="38" fontId="45" fillId="0" borderId="4" xfId="0" applyNumberFormat="1" applyFont="1" applyBorder="1"/>
    <xf numFmtId="38" fontId="45" fillId="0" borderId="9" xfId="0" applyNumberFormat="1" applyFont="1" applyBorder="1"/>
    <xf numFmtId="0" fontId="101" fillId="0" borderId="0" xfId="0" applyFont="1" applyAlignment="1">
      <alignment vertical="top" wrapText="1"/>
    </xf>
    <xf numFmtId="9" fontId="109" fillId="0" borderId="0" xfId="0" applyNumberFormat="1" applyFont="1"/>
    <xf numFmtId="0" fontId="90" fillId="0" borderId="0" xfId="0" applyFont="1" applyBorder="1" applyAlignment="1">
      <alignment horizontal="center"/>
    </xf>
    <xf numFmtId="1" fontId="90" fillId="0" borderId="0" xfId="23" applyNumberFormat="1" applyFont="1" applyBorder="1" applyAlignment="1">
      <alignment horizontal="center"/>
    </xf>
    <xf numFmtId="40" fontId="82" fillId="0" borderId="7" xfId="0" applyNumberFormat="1" applyFont="1" applyBorder="1"/>
    <xf numFmtId="0" fontId="126" fillId="16" borderId="20" xfId="0" applyFont="1" applyFill="1" applyBorder="1"/>
    <xf numFmtId="0" fontId="126" fillId="16" borderId="24" xfId="0" applyFont="1" applyFill="1" applyBorder="1"/>
    <xf numFmtId="0" fontId="127" fillId="16" borderId="24" xfId="0" applyFont="1" applyFill="1" applyBorder="1"/>
    <xf numFmtId="0" fontId="126" fillId="16" borderId="21" xfId="0" applyFont="1" applyFill="1" applyBorder="1"/>
    <xf numFmtId="38" fontId="128" fillId="16" borderId="3" xfId="0" applyNumberFormat="1" applyFont="1" applyFill="1" applyBorder="1" applyAlignment="1">
      <alignment horizontal="center"/>
    </xf>
    <xf numFmtId="0" fontId="126" fillId="16" borderId="0" xfId="0" applyFont="1" applyFill="1" applyBorder="1"/>
    <xf numFmtId="0" fontId="126" fillId="16" borderId="7" xfId="0" applyFont="1" applyFill="1" applyBorder="1"/>
    <xf numFmtId="0" fontId="126" fillId="16" borderId="6" xfId="0" applyFont="1" applyFill="1" applyBorder="1"/>
    <xf numFmtId="38" fontId="126" fillId="16" borderId="0" xfId="0" applyNumberFormat="1" applyFont="1" applyFill="1" applyBorder="1"/>
    <xf numFmtId="38" fontId="126" fillId="16" borderId="7" xfId="0" applyNumberFormat="1" applyFont="1" applyFill="1" applyBorder="1"/>
    <xf numFmtId="0" fontId="126" fillId="16" borderId="8" xfId="0" applyFont="1" applyFill="1" applyBorder="1"/>
    <xf numFmtId="0" fontId="126" fillId="16" borderId="4" xfId="0" applyFont="1" applyFill="1" applyBorder="1"/>
    <xf numFmtId="38" fontId="126" fillId="16" borderId="4" xfId="0" applyNumberFormat="1" applyFont="1" applyFill="1" applyBorder="1"/>
    <xf numFmtId="38" fontId="126" fillId="16" borderId="9" xfId="0" applyNumberFormat="1" applyFont="1" applyFill="1" applyBorder="1"/>
    <xf numFmtId="0" fontId="108" fillId="0" borderId="19" xfId="0" applyFont="1" applyBorder="1"/>
    <xf numFmtId="5" fontId="45" fillId="0" borderId="0" xfId="0" applyNumberFormat="1" applyFont="1"/>
    <xf numFmtId="172" fontId="73" fillId="0" borderId="0" xfId="21" applyNumberFormat="1" applyFont="1" applyAlignment="1"/>
    <xf numFmtId="37" fontId="108" fillId="0" borderId="0" xfId="21" applyFont="1" applyAlignment="1">
      <alignment horizontal="left"/>
    </xf>
    <xf numFmtId="37" fontId="73" fillId="0" borderId="0" xfId="21" applyFont="1" applyAlignment="1">
      <alignment horizontal="left"/>
    </xf>
    <xf numFmtId="37" fontId="73" fillId="0" borderId="15" xfId="21" applyFont="1" applyBorder="1" applyAlignment="1">
      <alignment horizontal="left"/>
    </xf>
    <xf numFmtId="37" fontId="73" fillId="0" borderId="15" xfId="21" applyFont="1" applyBorder="1" applyAlignment="1"/>
    <xf numFmtId="9" fontId="73" fillId="0" borderId="15" xfId="23" applyFont="1" applyBorder="1"/>
    <xf numFmtId="37" fontId="73" fillId="0" borderId="0" xfId="21" applyFont="1" applyBorder="1" applyAlignment="1"/>
    <xf numFmtId="37" fontId="73" fillId="0" borderId="25" xfId="21" applyFont="1" applyBorder="1" applyAlignment="1"/>
    <xf numFmtId="37" fontId="73" fillId="0" borderId="26" xfId="21" applyFont="1" applyBorder="1" applyAlignment="1"/>
    <xf numFmtId="37" fontId="110" fillId="0" borderId="26" xfId="21" applyFont="1" applyBorder="1" applyAlignment="1"/>
    <xf numFmtId="37" fontId="73" fillId="0" borderId="27" xfId="21" applyFont="1" applyBorder="1" applyAlignment="1"/>
    <xf numFmtId="206" fontId="73" fillId="0" borderId="0" xfId="6" applyNumberFormat="1" applyFont="1" applyFill="1"/>
    <xf numFmtId="41" fontId="113" fillId="0" borderId="0" xfId="6" applyNumberFormat="1" applyFont="1" applyFill="1"/>
    <xf numFmtId="43" fontId="113" fillId="0" borderId="0" xfId="3" applyFont="1" applyFill="1"/>
    <xf numFmtId="42" fontId="73" fillId="0" borderId="0" xfId="6" applyNumberFormat="1" applyFont="1" applyFill="1"/>
    <xf numFmtId="15" fontId="73" fillId="0" borderId="0" xfId="6" applyNumberFormat="1" applyFont="1" applyFill="1"/>
    <xf numFmtId="251" fontId="73" fillId="0" borderId="0" xfId="6" applyNumberFormat="1" applyFont="1" applyFill="1"/>
    <xf numFmtId="37" fontId="108" fillId="0" borderId="20" xfId="21" applyFont="1" applyBorder="1" applyAlignment="1"/>
    <xf numFmtId="37" fontId="73" fillId="0" borderId="24" xfId="21" applyFont="1" applyBorder="1" applyAlignment="1"/>
    <xf numFmtId="172" fontId="108" fillId="0" borderId="6" xfId="21" applyNumberFormat="1" applyFont="1" applyBorder="1" applyAlignment="1"/>
    <xf numFmtId="172" fontId="73" fillId="0" borderId="0" xfId="21" applyNumberFormat="1" applyFont="1" applyBorder="1" applyAlignment="1"/>
    <xf numFmtId="172" fontId="73" fillId="0" borderId="7" xfId="21" applyNumberFormat="1" applyFont="1" applyBorder="1" applyAlignment="1"/>
    <xf numFmtId="172" fontId="108" fillId="0" borderId="8" xfId="21" applyNumberFormat="1" applyFont="1" applyBorder="1" applyAlignment="1"/>
    <xf numFmtId="37" fontId="73" fillId="0" borderId="4" xfId="21" applyFont="1" applyFill="1" applyBorder="1" applyAlignment="1"/>
    <xf numFmtId="172" fontId="73" fillId="0" borderId="4" xfId="21" applyNumberFormat="1" applyFont="1" applyBorder="1" applyAlignment="1"/>
    <xf numFmtId="172" fontId="73" fillId="0" borderId="9" xfId="21" applyNumberFormat="1" applyFont="1" applyBorder="1" applyAlignment="1"/>
    <xf numFmtId="37" fontId="108" fillId="0" borderId="20" xfId="21" applyFont="1" applyBorder="1" applyAlignment="1">
      <alignment horizontal="left"/>
    </xf>
    <xf numFmtId="37" fontId="73" fillId="0" borderId="24" xfId="21" applyFont="1" applyFill="1" applyBorder="1" applyAlignment="1"/>
    <xf numFmtId="205" fontId="99" fillId="0" borderId="24" xfId="3" applyNumberFormat="1" applyFont="1" applyFill="1" applyBorder="1"/>
    <xf numFmtId="205" fontId="99" fillId="0" borderId="21" xfId="3" applyNumberFormat="1" applyFont="1" applyFill="1" applyBorder="1"/>
    <xf numFmtId="37" fontId="73" fillId="0" borderId="6" xfId="21" applyFont="1" applyBorder="1" applyAlignment="1">
      <alignment horizontal="left"/>
    </xf>
    <xf numFmtId="41" fontId="73" fillId="0" borderId="0" xfId="6" applyNumberFormat="1" applyFont="1" applyFill="1" applyBorder="1"/>
    <xf numFmtId="41" fontId="73" fillId="0" borderId="7" xfId="6" applyNumberFormat="1" applyFont="1" applyFill="1" applyBorder="1"/>
    <xf numFmtId="41" fontId="73" fillId="0" borderId="6" xfId="6" applyNumberFormat="1" applyFont="1" applyFill="1" applyBorder="1"/>
    <xf numFmtId="37" fontId="73" fillId="0" borderId="0" xfId="21" applyFont="1" applyFill="1" applyBorder="1" applyAlignment="1"/>
    <xf numFmtId="203" fontId="73" fillId="0" borderId="0" xfId="5" applyNumberFormat="1" applyFont="1" applyFill="1" applyBorder="1"/>
    <xf numFmtId="203" fontId="73" fillId="0" borderId="7" xfId="5" applyNumberFormat="1" applyFont="1" applyFill="1" applyBorder="1"/>
    <xf numFmtId="7" fontId="73" fillId="0" borderId="0" xfId="6" applyNumberFormat="1" applyFont="1" applyFill="1" applyBorder="1"/>
    <xf numFmtId="7" fontId="73" fillId="0" borderId="7" xfId="6" applyNumberFormat="1" applyFont="1" applyFill="1" applyBorder="1"/>
    <xf numFmtId="7" fontId="110" fillId="0" borderId="0" xfId="6" applyNumberFormat="1" applyFont="1" applyFill="1" applyBorder="1"/>
    <xf numFmtId="7" fontId="110" fillId="0" borderId="7" xfId="6" applyNumberFormat="1" applyFont="1" applyFill="1" applyBorder="1"/>
    <xf numFmtId="37" fontId="108" fillId="0" borderId="8" xfId="21" applyFont="1" applyBorder="1" applyAlignment="1">
      <alignment horizontal="left"/>
    </xf>
    <xf numFmtId="37" fontId="73" fillId="0" borderId="4" xfId="21" applyFont="1" applyBorder="1" applyAlignment="1"/>
    <xf numFmtId="203" fontId="73" fillId="0" borderId="4" xfId="5" applyNumberFormat="1" applyFont="1" applyFill="1" applyBorder="1"/>
    <xf numFmtId="203" fontId="73" fillId="0" borderId="9" xfId="5" applyNumberFormat="1" applyFont="1" applyFill="1" applyBorder="1"/>
    <xf numFmtId="37" fontId="73" fillId="0" borderId="0" xfId="21" applyFont="1" applyBorder="1" applyAlignment="1">
      <alignment horizontal="left"/>
    </xf>
    <xf numFmtId="9" fontId="73" fillId="0" borderId="0" xfId="23" applyFont="1" applyBorder="1"/>
    <xf numFmtId="41" fontId="73" fillId="0" borderId="24" xfId="6" applyNumberFormat="1" applyFont="1" applyFill="1" applyBorder="1"/>
    <xf numFmtId="41" fontId="73" fillId="0" borderId="21" xfId="6" applyNumberFormat="1" applyFont="1" applyFill="1" applyBorder="1"/>
    <xf numFmtId="37" fontId="108" fillId="0" borderId="6" xfId="21" applyFont="1" applyBorder="1" applyAlignment="1">
      <alignment horizontal="left"/>
    </xf>
    <xf numFmtId="0" fontId="122" fillId="0" borderId="6" xfId="0" applyFont="1" applyBorder="1" applyAlignment="1" applyProtection="1">
      <alignment horizontal="left"/>
    </xf>
    <xf numFmtId="41" fontId="110" fillId="0" borderId="0" xfId="6" applyNumberFormat="1" applyFont="1" applyFill="1" applyBorder="1"/>
    <xf numFmtId="41" fontId="110" fillId="0" borderId="7" xfId="6" applyNumberFormat="1" applyFont="1" applyFill="1" applyBorder="1"/>
    <xf numFmtId="206" fontId="73" fillId="0" borderId="0" xfId="6" applyNumberFormat="1" applyFont="1" applyFill="1" applyBorder="1"/>
    <xf numFmtId="206" fontId="73" fillId="0" borderId="7" xfId="6" applyNumberFormat="1" applyFont="1" applyFill="1" applyBorder="1"/>
    <xf numFmtId="41" fontId="113" fillId="0" borderId="0" xfId="6" applyNumberFormat="1" applyFont="1" applyFill="1" applyBorder="1"/>
    <xf numFmtId="41" fontId="113" fillId="0" borderId="7" xfId="6" applyNumberFormat="1" applyFont="1" applyFill="1" applyBorder="1"/>
    <xf numFmtId="38" fontId="113" fillId="0" borderId="0" xfId="6" applyNumberFormat="1" applyFont="1" applyFill="1" applyBorder="1"/>
    <xf numFmtId="38" fontId="113" fillId="0" borderId="7" xfId="6" applyNumberFormat="1" applyFont="1" applyFill="1" applyBorder="1"/>
    <xf numFmtId="38" fontId="73" fillId="0" borderId="0" xfId="6" applyNumberFormat="1" applyFont="1" applyFill="1" applyBorder="1"/>
    <xf numFmtId="38" fontId="73" fillId="0" borderId="7" xfId="6" applyNumberFormat="1" applyFont="1" applyFill="1" applyBorder="1"/>
    <xf numFmtId="37" fontId="108" fillId="0" borderId="28" xfId="21" applyFont="1" applyBorder="1" applyAlignment="1">
      <alignment horizontal="left"/>
    </xf>
    <xf numFmtId="37" fontId="73" fillId="0" borderId="28" xfId="21" applyFont="1" applyBorder="1" applyAlignment="1"/>
    <xf numFmtId="206" fontId="113" fillId="0" borderId="28" xfId="6" applyNumberFormat="1" applyFont="1" applyFill="1" applyBorder="1"/>
    <xf numFmtId="37" fontId="108" fillId="0" borderId="0" xfId="21" applyFont="1" applyBorder="1" applyAlignment="1">
      <alignment horizontal="left"/>
    </xf>
    <xf numFmtId="206" fontId="113" fillId="0" borderId="0" xfId="6" applyNumberFormat="1" applyFont="1" applyFill="1" applyBorder="1"/>
    <xf numFmtId="203" fontId="73" fillId="0" borderId="24" xfId="5" applyNumberFormat="1" applyFont="1" applyFill="1" applyBorder="1"/>
    <xf numFmtId="203" fontId="73" fillId="0" borderId="21" xfId="5" applyNumberFormat="1" applyFont="1" applyFill="1" applyBorder="1"/>
    <xf numFmtId="37" fontId="73" fillId="0" borderId="7" xfId="21" applyFont="1" applyFill="1" applyBorder="1" applyAlignment="1"/>
    <xf numFmtId="203" fontId="113" fillId="0" borderId="0" xfId="5" applyNumberFormat="1" applyFont="1" applyFill="1" applyBorder="1"/>
    <xf numFmtId="203" fontId="113" fillId="0" borderId="7" xfId="5" applyNumberFormat="1" applyFont="1" applyFill="1" applyBorder="1"/>
    <xf numFmtId="37" fontId="73" fillId="0" borderId="6" xfId="21" applyFont="1" applyBorder="1" applyAlignment="1"/>
    <xf numFmtId="37" fontId="73" fillId="0" borderId="7" xfId="21" applyFont="1" applyBorder="1" applyAlignment="1"/>
    <xf numFmtId="42" fontId="115" fillId="0" borderId="4" xfId="6" applyNumberFormat="1" applyFont="1" applyFill="1" applyBorder="1"/>
    <xf numFmtId="42" fontId="115" fillId="0" borderId="9" xfId="6" applyNumberFormat="1" applyFont="1" applyFill="1" applyBorder="1"/>
    <xf numFmtId="206" fontId="110" fillId="0" borderId="0" xfId="6" applyNumberFormat="1" applyFont="1" applyFill="1" applyBorder="1"/>
    <xf numFmtId="38" fontId="73" fillId="0" borderId="0" xfId="5" applyNumberFormat="1" applyFont="1" applyFill="1" applyBorder="1"/>
    <xf numFmtId="38" fontId="73" fillId="0" borderId="7" xfId="5" applyNumberFormat="1" applyFont="1" applyFill="1" applyBorder="1"/>
    <xf numFmtId="38" fontId="110" fillId="0" borderId="0" xfId="5" applyNumberFormat="1" applyFont="1" applyFill="1" applyBorder="1"/>
    <xf numFmtId="38" fontId="110" fillId="0" borderId="7" xfId="5" applyNumberFormat="1" applyFont="1" applyFill="1" applyBorder="1"/>
    <xf numFmtId="0" fontId="1" fillId="2" borderId="8" xfId="0" applyFont="1" applyFill="1" applyBorder="1"/>
    <xf numFmtId="37" fontId="5" fillId="0" borderId="24" xfId="21" applyBorder="1" applyAlignment="1"/>
    <xf numFmtId="9" fontId="109" fillId="2" borderId="20" xfId="23" applyFont="1" applyFill="1" applyBorder="1" applyAlignment="1">
      <alignment horizontal="left"/>
    </xf>
    <xf numFmtId="0" fontId="45" fillId="2" borderId="21" xfId="0" applyFont="1" applyFill="1" applyBorder="1"/>
    <xf numFmtId="0" fontId="101" fillId="2" borderId="8" xfId="0" applyFont="1" applyFill="1" applyBorder="1"/>
    <xf numFmtId="0" fontId="45" fillId="2" borderId="9" xfId="0" applyFont="1" applyFill="1" applyBorder="1"/>
    <xf numFmtId="167" fontId="106" fillId="2" borderId="24" xfId="0" applyNumberFormat="1" applyFont="1" applyFill="1" applyBorder="1" applyProtection="1"/>
    <xf numFmtId="167" fontId="106" fillId="2" borderId="21" xfId="0" applyNumberFormat="1" applyFont="1" applyFill="1" applyBorder="1" applyProtection="1"/>
    <xf numFmtId="0" fontId="73" fillId="0" borderId="21" xfId="0" applyFont="1" applyBorder="1"/>
    <xf numFmtId="0" fontId="73" fillId="2" borderId="21" xfId="0" applyFont="1" applyFill="1" applyBorder="1"/>
    <xf numFmtId="0" fontId="73" fillId="2" borderId="9" xfId="0" applyFont="1" applyFill="1" applyBorder="1"/>
    <xf numFmtId="167" fontId="106" fillId="0" borderId="24" xfId="0" applyNumberFormat="1" applyFont="1" applyBorder="1" applyProtection="1"/>
    <xf numFmtId="0" fontId="73" fillId="0" borderId="6" xfId="0" applyFont="1" applyBorder="1"/>
    <xf numFmtId="0" fontId="73" fillId="0" borderId="7" xfId="0" applyFont="1" applyBorder="1" applyAlignment="1" applyProtection="1">
      <alignment horizontal="right"/>
    </xf>
    <xf numFmtId="0" fontId="108" fillId="0" borderId="6" xfId="0" applyFont="1" applyBorder="1" applyAlignment="1" applyProtection="1">
      <alignment horizontal="left"/>
    </xf>
    <xf numFmtId="37" fontId="116" fillId="0" borderId="0" xfId="0" applyNumberFormat="1" applyFont="1" applyBorder="1"/>
    <xf numFmtId="42" fontId="73" fillId="0" borderId="0" xfId="0" applyNumberFormat="1" applyFont="1" applyBorder="1" applyProtection="1"/>
    <xf numFmtId="42" fontId="73" fillId="0" borderId="7" xfId="0" applyNumberFormat="1" applyFont="1" applyBorder="1" applyProtection="1"/>
    <xf numFmtId="0" fontId="73" fillId="0" borderId="6" xfId="0" applyFont="1" applyBorder="1" applyAlignment="1" applyProtection="1">
      <alignment horizontal="left"/>
    </xf>
    <xf numFmtId="41" fontId="73" fillId="0" borderId="7" xfId="0" applyNumberFormat="1" applyFont="1" applyBorder="1" applyProtection="1"/>
    <xf numFmtId="206" fontId="73" fillId="0" borderId="7" xfId="3" applyNumberFormat="1" applyFont="1" applyBorder="1" applyProtection="1"/>
    <xf numFmtId="37" fontId="73" fillId="0" borderId="7" xfId="0" applyNumberFormat="1" applyFont="1" applyBorder="1" applyProtection="1"/>
    <xf numFmtId="37" fontId="110" fillId="0" borderId="0" xfId="0" applyNumberFormat="1" applyFont="1" applyBorder="1" applyProtection="1"/>
    <xf numFmtId="37" fontId="110" fillId="0" borderId="7" xfId="0" applyNumberFormat="1" applyFont="1" applyBorder="1" applyProtection="1"/>
    <xf numFmtId="0" fontId="108" fillId="0" borderId="6" xfId="0" applyFont="1" applyBorder="1"/>
    <xf numFmtId="0" fontId="73" fillId="0" borderId="7" xfId="0" applyFont="1" applyBorder="1"/>
    <xf numFmtId="0" fontId="116" fillId="0" borderId="0" xfId="0" applyFont="1" applyBorder="1"/>
    <xf numFmtId="206" fontId="116" fillId="0" borderId="0" xfId="3" applyNumberFormat="1" applyFont="1" applyBorder="1"/>
    <xf numFmtId="206" fontId="113" fillId="0" borderId="7" xfId="3" applyNumberFormat="1" applyFont="1" applyBorder="1" applyProtection="1"/>
    <xf numFmtId="0" fontId="108" fillId="0" borderId="8" xfId="0" applyFont="1" applyBorder="1"/>
    <xf numFmtId="203" fontId="73" fillId="0" borderId="4" xfId="5" applyNumberFormat="1" applyFont="1" applyBorder="1"/>
    <xf numFmtId="203" fontId="116" fillId="0" borderId="4" xfId="5" applyNumberFormat="1" applyFont="1" applyBorder="1" applyProtection="1"/>
    <xf numFmtId="203" fontId="115" fillId="0" borderId="4" xfId="5" applyNumberFormat="1" applyFont="1" applyBorder="1" applyProtection="1"/>
    <xf numFmtId="203" fontId="115" fillId="0" borderId="9" xfId="5" applyNumberFormat="1" applyFont="1" applyBorder="1" applyProtection="1"/>
    <xf numFmtId="0" fontId="108" fillId="0" borderId="20" xfId="0" applyFont="1" applyBorder="1"/>
    <xf numFmtId="0" fontId="73" fillId="0" borderId="24" xfId="0" applyFont="1" applyBorder="1"/>
    <xf numFmtId="8" fontId="73" fillId="0" borderId="24" xfId="0" applyNumberFormat="1" applyFont="1" applyBorder="1"/>
    <xf numFmtId="8" fontId="73" fillId="0" borderId="0" xfId="0" applyNumberFormat="1" applyFont="1" applyBorder="1"/>
    <xf numFmtId="6" fontId="73" fillId="0" borderId="0" xfId="0" applyNumberFormat="1" applyFont="1" applyBorder="1"/>
    <xf numFmtId="6" fontId="73" fillId="0" borderId="7" xfId="0" applyNumberFormat="1" applyFont="1" applyBorder="1"/>
    <xf numFmtId="6" fontId="73" fillId="0" borderId="0" xfId="23" applyNumberFormat="1" applyFont="1" applyBorder="1"/>
    <xf numFmtId="43" fontId="73" fillId="0" borderId="0" xfId="3" applyFont="1" applyBorder="1"/>
    <xf numFmtId="206" fontId="73" fillId="0" borderId="0" xfId="0" applyNumberFormat="1" applyFont="1" applyBorder="1"/>
    <xf numFmtId="206" fontId="73" fillId="0" borderId="7" xfId="0" applyNumberFormat="1" applyFont="1" applyBorder="1"/>
    <xf numFmtId="206" fontId="73" fillId="0" borderId="7" xfId="3" applyNumberFormat="1" applyFont="1" applyBorder="1"/>
    <xf numFmtId="0" fontId="73" fillId="0" borderId="8" xfId="0" applyFont="1" applyBorder="1"/>
    <xf numFmtId="0" fontId="73" fillId="0" borderId="4" xfId="0" applyFont="1" applyBorder="1"/>
    <xf numFmtId="206" fontId="73" fillId="0" borderId="4" xfId="3" applyNumberFormat="1" applyFont="1" applyBorder="1"/>
    <xf numFmtId="206" fontId="73" fillId="0" borderId="4" xfId="0" applyNumberFormat="1" applyFont="1" applyBorder="1"/>
    <xf numFmtId="206" fontId="73" fillId="0" borderId="9" xfId="0" applyNumberFormat="1" applyFont="1" applyBorder="1"/>
    <xf numFmtId="0" fontId="45" fillId="0" borderId="24" xfId="0" applyFont="1" applyBorder="1"/>
    <xf numFmtId="0" fontId="45" fillId="0" borderId="21" xfId="0" applyFont="1" applyBorder="1"/>
    <xf numFmtId="0" fontId="45" fillId="0" borderId="4" xfId="0" applyFont="1" applyBorder="1"/>
    <xf numFmtId="0" fontId="45" fillId="0" borderId="9" xfId="0" applyFont="1" applyBorder="1"/>
    <xf numFmtId="0" fontId="45" fillId="2" borderId="24" xfId="0" applyFont="1" applyFill="1" applyBorder="1"/>
    <xf numFmtId="0" fontId="45" fillId="2" borderId="4" xfId="0" applyFont="1" applyFill="1" applyBorder="1"/>
    <xf numFmtId="0" fontId="45" fillId="0" borderId="20" xfId="0" applyFont="1" applyBorder="1"/>
    <xf numFmtId="0" fontId="106" fillId="2" borderId="24" xfId="0" applyFont="1" applyFill="1" applyBorder="1"/>
    <xf numFmtId="0" fontId="106" fillId="2" borderId="21" xfId="0" applyFont="1" applyFill="1" applyBorder="1"/>
    <xf numFmtId="206" fontId="101" fillId="0" borderId="6" xfId="3" applyNumberFormat="1" applyFont="1" applyBorder="1"/>
    <xf numFmtId="0" fontId="45" fillId="0" borderId="7" xfId="0" applyFont="1" applyBorder="1"/>
    <xf numFmtId="0" fontId="45" fillId="0" borderId="6" xfId="0" applyFont="1" applyBorder="1"/>
    <xf numFmtId="37" fontId="45" fillId="0" borderId="0" xfId="0" applyNumberFormat="1" applyFont="1" applyBorder="1"/>
    <xf numFmtId="37" fontId="45" fillId="0" borderId="7" xfId="0" applyNumberFormat="1" applyFont="1" applyBorder="1"/>
    <xf numFmtId="41" fontId="107" fillId="0" borderId="0" xfId="0" applyNumberFormat="1" applyFont="1" applyBorder="1"/>
    <xf numFmtId="41" fontId="107" fillId="0" borderId="7" xfId="0" applyNumberFormat="1" applyFont="1" applyBorder="1"/>
    <xf numFmtId="206" fontId="73" fillId="0" borderId="6" xfId="3" applyNumberFormat="1" applyFont="1" applyBorder="1"/>
    <xf numFmtId="38" fontId="107" fillId="0" borderId="0" xfId="0" applyNumberFormat="1" applyFont="1" applyBorder="1"/>
    <xf numFmtId="38" fontId="107" fillId="0" borderId="7" xfId="0" applyNumberFormat="1" applyFont="1" applyBorder="1"/>
    <xf numFmtId="206" fontId="108" fillId="0" borderId="8" xfId="3" applyNumberFormat="1" applyFont="1" applyBorder="1"/>
    <xf numFmtId="38" fontId="101" fillId="0" borderId="4" xfId="0" applyNumberFormat="1" applyFont="1" applyBorder="1"/>
    <xf numFmtId="38" fontId="101" fillId="0" borderId="9" xfId="0" applyNumberFormat="1" applyFont="1" applyBorder="1"/>
    <xf numFmtId="206" fontId="101" fillId="0" borderId="20" xfId="3" applyNumberFormat="1" applyFont="1" applyBorder="1"/>
    <xf numFmtId="41" fontId="45" fillId="0" borderId="0" xfId="0" applyNumberFormat="1" applyFont="1" applyBorder="1"/>
    <xf numFmtId="41" fontId="45" fillId="0" borderId="7" xfId="0" applyNumberFormat="1" applyFont="1" applyBorder="1"/>
    <xf numFmtId="206" fontId="108" fillId="0" borderId="6" xfId="3" applyNumberFormat="1" applyFont="1" applyBorder="1"/>
    <xf numFmtId="42" fontId="45" fillId="0" borderId="0" xfId="0" applyNumberFormat="1" applyFont="1" applyBorder="1"/>
    <xf numFmtId="42" fontId="45" fillId="0" borderId="7" xfId="0" applyNumberFormat="1" applyFont="1" applyBorder="1"/>
    <xf numFmtId="38" fontId="101" fillId="0" borderId="0" xfId="0" applyNumberFormat="1" applyFont="1" applyBorder="1"/>
    <xf numFmtId="38" fontId="101" fillId="0" borderId="7" xfId="0" applyNumberFormat="1" applyFont="1" applyBorder="1"/>
    <xf numFmtId="206" fontId="108" fillId="0" borderId="22" xfId="3" applyNumberFormat="1" applyFont="1" applyBorder="1"/>
    <xf numFmtId="38" fontId="101" fillId="0" borderId="23" xfId="0" applyNumberFormat="1" applyFont="1" applyBorder="1"/>
    <xf numFmtId="9" fontId="104" fillId="2" borderId="24" xfId="23" applyFont="1" applyFill="1" applyBorder="1" applyAlignment="1">
      <alignment horizontal="left"/>
    </xf>
    <xf numFmtId="0" fontId="73" fillId="2" borderId="4" xfId="0" applyFont="1" applyFill="1" applyBorder="1"/>
    <xf numFmtId="37" fontId="73" fillId="2" borderId="9" xfId="21" applyFont="1" applyFill="1" applyBorder="1" applyAlignment="1"/>
    <xf numFmtId="0" fontId="106" fillId="0" borderId="6" xfId="0" applyFont="1" applyBorder="1" applyAlignment="1" applyProtection="1">
      <alignment horizontal="left"/>
    </xf>
    <xf numFmtId="0" fontId="114" fillId="0" borderId="6" xfId="0" applyFont="1" applyBorder="1" applyAlignment="1" applyProtection="1">
      <alignment horizontal="left"/>
    </xf>
    <xf numFmtId="203" fontId="73" fillId="0" borderId="7" xfId="5" applyNumberFormat="1" applyFont="1" applyBorder="1" applyProtection="1"/>
    <xf numFmtId="10" fontId="110" fillId="0" borderId="7" xfId="0" applyNumberFormat="1" applyFont="1" applyBorder="1"/>
    <xf numFmtId="203" fontId="108" fillId="0" borderId="7" xfId="5" applyNumberFormat="1" applyFont="1" applyBorder="1" applyProtection="1"/>
    <xf numFmtId="0" fontId="73" fillId="0" borderId="7" xfId="0" applyFont="1" applyBorder="1" applyAlignment="1" applyProtection="1">
      <alignment horizontal="left"/>
    </xf>
    <xf numFmtId="41" fontId="73" fillId="0" borderId="7" xfId="0" applyNumberFormat="1" applyFont="1" applyBorder="1"/>
    <xf numFmtId="203" fontId="73" fillId="0" borderId="0" xfId="5" applyNumberFormat="1" applyFont="1" applyBorder="1"/>
    <xf numFmtId="203" fontId="7" fillId="0" borderId="0" xfId="5" applyNumberFormat="1" applyFont="1" applyBorder="1"/>
    <xf numFmtId="41" fontId="113" fillId="0" borderId="7" xfId="0" applyNumberFormat="1" applyFont="1" applyBorder="1"/>
    <xf numFmtId="1" fontId="73" fillId="0" borderId="7" xfId="0" applyNumberFormat="1" applyFont="1" applyBorder="1"/>
    <xf numFmtId="38" fontId="73" fillId="0" borderId="7" xfId="5" applyNumberFormat="1" applyFont="1" applyBorder="1" applyProtection="1"/>
    <xf numFmtId="37" fontId="108" fillId="0" borderId="0" xfId="21" applyFont="1" applyBorder="1" applyAlignment="1"/>
    <xf numFmtId="206" fontId="110" fillId="0" borderId="0" xfId="3" applyNumberFormat="1" applyFont="1" applyBorder="1" applyProtection="1"/>
    <xf numFmtId="206" fontId="110" fillId="0" borderId="7" xfId="3" applyNumberFormat="1" applyFont="1" applyBorder="1" applyProtection="1"/>
    <xf numFmtId="0" fontId="106" fillId="0" borderId="20" xfId="0" applyFont="1" applyBorder="1" applyAlignment="1" applyProtection="1">
      <alignment horizontal="left"/>
    </xf>
    <xf numFmtId="203" fontId="73" fillId="0" borderId="7" xfId="0" applyNumberFormat="1" applyFont="1" applyBorder="1" applyProtection="1"/>
    <xf numFmtId="41" fontId="113" fillId="0" borderId="7" xfId="0" applyNumberFormat="1" applyFont="1" applyBorder="1" applyProtection="1"/>
    <xf numFmtId="41" fontId="108" fillId="0" borderId="7" xfId="0" applyNumberFormat="1" applyFont="1" applyBorder="1" applyProtection="1"/>
    <xf numFmtId="10" fontId="73" fillId="0" borderId="0" xfId="0" applyNumberFormat="1" applyFont="1" applyBorder="1"/>
    <xf numFmtId="10" fontId="73" fillId="0" borderId="7" xfId="0" applyNumberFormat="1" applyFont="1" applyBorder="1"/>
    <xf numFmtId="6" fontId="73" fillId="0" borderId="0" xfId="5" applyNumberFormat="1" applyFont="1" applyBorder="1"/>
    <xf numFmtId="0" fontId="90" fillId="0" borderId="20" xfId="0" applyFont="1" applyBorder="1"/>
    <xf numFmtId="37" fontId="108" fillId="0" borderId="24" xfId="21" applyFont="1" applyBorder="1" applyAlignment="1"/>
    <xf numFmtId="206" fontId="73" fillId="0" borderId="24" xfId="3" applyNumberFormat="1" applyFont="1" applyBorder="1" applyProtection="1"/>
    <xf numFmtId="38" fontId="73" fillId="0" borderId="0" xfId="0" applyNumberFormat="1" applyFont="1" applyBorder="1"/>
    <xf numFmtId="38" fontId="73" fillId="0" borderId="7" xfId="0" applyNumberFormat="1" applyFont="1" applyBorder="1"/>
    <xf numFmtId="38" fontId="110" fillId="0" borderId="0" xfId="0" applyNumberFormat="1" applyFont="1" applyBorder="1"/>
    <xf numFmtId="38" fontId="110" fillId="0" borderId="7" xfId="0" applyNumberFormat="1" applyFont="1" applyBorder="1"/>
    <xf numFmtId="38" fontId="73" fillId="0" borderId="4" xfId="0" applyNumberFormat="1" applyFont="1" applyBorder="1"/>
    <xf numFmtId="38" fontId="73" fillId="0" borderId="9" xfId="0" applyNumberFormat="1" applyFont="1" applyBorder="1"/>
    <xf numFmtId="37" fontId="73" fillId="0" borderId="21" xfId="21" applyFont="1" applyBorder="1" applyAlignment="1"/>
    <xf numFmtId="37" fontId="73" fillId="2" borderId="21" xfId="21" applyFont="1" applyFill="1" applyBorder="1" applyAlignment="1"/>
    <xf numFmtId="0" fontId="112" fillId="0" borderId="20" xfId="0" applyFont="1" applyBorder="1" applyAlignment="1" applyProtection="1">
      <alignment horizontal="left"/>
      <protection locked="0"/>
    </xf>
    <xf numFmtId="167" fontId="110" fillId="0" borderId="24" xfId="0" applyNumberFormat="1" applyFont="1" applyBorder="1" applyProtection="1">
      <protection locked="0"/>
    </xf>
    <xf numFmtId="170" fontId="99" fillId="0" borderId="0" xfId="0" applyNumberFormat="1" applyFont="1" applyBorder="1" applyProtection="1">
      <protection locked="0"/>
    </xf>
    <xf numFmtId="170" fontId="73" fillId="0" borderId="0" xfId="0" applyNumberFormat="1" applyFont="1" applyBorder="1" applyProtection="1"/>
    <xf numFmtId="172" fontId="99" fillId="0" borderId="0" xfId="0" applyNumberFormat="1" applyFont="1" applyBorder="1" applyProtection="1">
      <protection locked="0"/>
    </xf>
    <xf numFmtId="10" fontId="73" fillId="0" borderId="0" xfId="23" applyNumberFormat="1" applyFont="1" applyBorder="1" applyProtection="1"/>
    <xf numFmtId="10" fontId="73" fillId="0" borderId="7" xfId="23" applyNumberFormat="1" applyFont="1" applyBorder="1" applyProtection="1"/>
    <xf numFmtId="172" fontId="73" fillId="0" borderId="0" xfId="0" applyNumberFormat="1" applyFont="1" applyBorder="1" applyProtection="1"/>
    <xf numFmtId="204" fontId="99" fillId="0" borderId="0" xfId="0" applyNumberFormat="1" applyFont="1" applyBorder="1" applyProtection="1">
      <protection locked="0"/>
    </xf>
    <xf numFmtId="203" fontId="73" fillId="0" borderId="7" xfId="5" applyNumberFormat="1" applyFont="1" applyBorder="1"/>
    <xf numFmtId="206" fontId="123" fillId="0" borderId="0" xfId="3" applyNumberFormat="1" applyFont="1" applyBorder="1" applyProtection="1"/>
    <xf numFmtId="206" fontId="123" fillId="0" borderId="7" xfId="3" applyNumberFormat="1" applyFont="1" applyBorder="1" applyProtection="1"/>
    <xf numFmtId="0" fontId="73" fillId="0" borderId="8" xfId="0" applyFont="1" applyBorder="1" applyAlignment="1" applyProtection="1">
      <alignment horizontal="left"/>
    </xf>
    <xf numFmtId="0" fontId="73" fillId="0" borderId="4" xfId="0" applyFont="1" applyBorder="1" applyProtection="1"/>
    <xf numFmtId="203" fontId="73" fillId="0" borderId="9" xfId="5" applyNumberFormat="1" applyFont="1" applyBorder="1"/>
    <xf numFmtId="0" fontId="112" fillId="0" borderId="6" xfId="0" applyFont="1" applyBorder="1" applyAlignment="1" applyProtection="1">
      <alignment horizontal="left"/>
      <protection locked="0"/>
    </xf>
    <xf numFmtId="176" fontId="73" fillId="0" borderId="0" xfId="0" applyNumberFormat="1" applyFont="1" applyBorder="1" applyProtection="1"/>
    <xf numFmtId="10" fontId="99" fillId="0" borderId="0" xfId="23" applyNumberFormat="1" applyFont="1" applyBorder="1" applyProtection="1"/>
    <xf numFmtId="10" fontId="99" fillId="0" borderId="7" xfId="23" applyNumberFormat="1" applyFont="1" applyBorder="1" applyProtection="1"/>
    <xf numFmtId="0" fontId="73" fillId="0" borderId="0" xfId="0" applyFont="1" applyBorder="1" applyAlignment="1">
      <alignment horizontal="center"/>
    </xf>
    <xf numFmtId="9" fontId="99" fillId="0" borderId="0" xfId="23" applyFont="1" applyBorder="1" applyProtection="1"/>
    <xf numFmtId="0" fontId="73" fillId="0" borderId="24" xfId="0" applyFont="1" applyBorder="1" applyAlignment="1" applyProtection="1">
      <alignment horizontal="right"/>
    </xf>
    <xf numFmtId="37" fontId="73" fillId="0" borderId="24" xfId="21" applyFont="1" applyBorder="1" applyAlignment="1">
      <alignment horizontal="right"/>
    </xf>
    <xf numFmtId="10" fontId="99" fillId="0" borderId="0" xfId="23" applyNumberFormat="1" applyFont="1" applyBorder="1" applyProtection="1">
      <protection locked="0"/>
    </xf>
    <xf numFmtId="203" fontId="73" fillId="0" borderId="0" xfId="0" applyNumberFormat="1" applyFont="1" applyBorder="1"/>
    <xf numFmtId="203" fontId="73" fillId="0" borderId="4" xfId="5" applyNumberFormat="1" applyFont="1" applyBorder="1" applyProtection="1"/>
    <xf numFmtId="203" fontId="73" fillId="0" borderId="9" xfId="5" applyNumberFormat="1" applyFont="1" applyBorder="1" applyProtection="1"/>
    <xf numFmtId="0" fontId="73" fillId="0" borderId="20" xfId="0" applyFont="1" applyBorder="1"/>
    <xf numFmtId="176" fontId="73" fillId="0" borderId="0" xfId="0" applyNumberFormat="1" applyFont="1" applyBorder="1"/>
    <xf numFmtId="0" fontId="73" fillId="0" borderId="0" xfId="0" applyFont="1" applyFill="1" applyBorder="1"/>
    <xf numFmtId="7" fontId="73" fillId="0" borderId="0" xfId="3" applyNumberFormat="1" applyFont="1" applyBorder="1" applyAlignment="1">
      <alignment horizontal="right"/>
    </xf>
    <xf numFmtId="37" fontId="101" fillId="0" borderId="6" xfId="21" applyFont="1" applyBorder="1" applyAlignment="1">
      <alignment horizontal="left"/>
    </xf>
    <xf numFmtId="205" fontId="73" fillId="0" borderId="0" xfId="3" applyNumberFormat="1" applyFont="1" applyFill="1" applyBorder="1"/>
    <xf numFmtId="172" fontId="99" fillId="0" borderId="0" xfId="21" applyNumberFormat="1" applyFont="1" applyBorder="1" applyAlignment="1"/>
    <xf numFmtId="37" fontId="101" fillId="0" borderId="6" xfId="21" applyFont="1" applyBorder="1" applyAlignment="1"/>
    <xf numFmtId="9" fontId="73" fillId="0" borderId="0" xfId="23" applyFont="1" applyBorder="1" applyAlignment="1">
      <alignment horizontal="center"/>
    </xf>
    <xf numFmtId="9" fontId="73" fillId="0" borderId="7" xfId="23" applyFont="1" applyBorder="1" applyAlignment="1">
      <alignment horizontal="center"/>
    </xf>
    <xf numFmtId="37" fontId="101" fillId="0" borderId="8" xfId="21" applyFont="1" applyBorder="1" applyAlignment="1"/>
    <xf numFmtId="7" fontId="73" fillId="0" borderId="4" xfId="0" applyNumberFormat="1" applyFont="1" applyBorder="1"/>
    <xf numFmtId="172" fontId="73" fillId="0" borderId="4" xfId="21" applyNumberFormat="1" applyFont="1" applyBorder="1" applyAlignment="1">
      <alignment horizontal="center"/>
    </xf>
    <xf numFmtId="172" fontId="73" fillId="0" borderId="9" xfId="21" applyNumberFormat="1" applyFont="1" applyBorder="1" applyAlignment="1">
      <alignment horizontal="center"/>
    </xf>
    <xf numFmtId="7" fontId="73" fillId="0" borderId="24" xfId="3" applyNumberFormat="1" applyFont="1" applyBorder="1" applyAlignment="1">
      <alignment horizontal="right"/>
    </xf>
    <xf numFmtId="7" fontId="73" fillId="0" borderId="21" xfId="3" applyNumberFormat="1" applyFont="1" applyBorder="1" applyAlignment="1">
      <alignment horizontal="right"/>
    </xf>
    <xf numFmtId="7" fontId="73" fillId="0" borderId="7" xfId="3" applyNumberFormat="1" applyFont="1" applyBorder="1" applyAlignment="1">
      <alignment horizontal="right"/>
    </xf>
    <xf numFmtId="43" fontId="99" fillId="0" borderId="0" xfId="3" applyFont="1" applyBorder="1" applyAlignment="1">
      <alignment horizontal="right"/>
    </xf>
    <xf numFmtId="43" fontId="73" fillId="0" borderId="0" xfId="3" applyFont="1" applyFill="1" applyBorder="1" applyAlignment="1">
      <alignment horizontal="right"/>
    </xf>
    <xf numFmtId="43" fontId="73" fillId="0" borderId="7" xfId="3" applyFont="1" applyFill="1" applyBorder="1" applyAlignment="1">
      <alignment horizontal="right"/>
    </xf>
    <xf numFmtId="7" fontId="99" fillId="0" borderId="0" xfId="3" applyNumberFormat="1" applyFont="1" applyBorder="1"/>
    <xf numFmtId="7" fontId="73" fillId="0" borderId="0" xfId="3" applyNumberFormat="1" applyFont="1" applyBorder="1"/>
    <xf numFmtId="7" fontId="73" fillId="0" borderId="7" xfId="3" applyNumberFormat="1" applyFont="1" applyBorder="1"/>
    <xf numFmtId="9" fontId="99" fillId="0" borderId="0" xfId="3" applyNumberFormat="1" applyFont="1" applyBorder="1"/>
    <xf numFmtId="9" fontId="73" fillId="0" borderId="0" xfId="3" applyNumberFormat="1" applyFont="1" applyBorder="1"/>
    <xf numFmtId="9" fontId="73" fillId="0" borderId="7" xfId="3" applyNumberFormat="1" applyFont="1" applyBorder="1"/>
    <xf numFmtId="0" fontId="85" fillId="0" borderId="6" xfId="0" applyFont="1" applyBorder="1"/>
    <xf numFmtId="8" fontId="73" fillId="0" borderId="0" xfId="4" applyNumberFormat="1" applyFont="1" applyFill="1" applyBorder="1"/>
    <xf numFmtId="8" fontId="73" fillId="0" borderId="7" xfId="4" applyNumberFormat="1" applyFont="1" applyFill="1" applyBorder="1"/>
    <xf numFmtId="37" fontId="73" fillId="0" borderId="6" xfId="21" applyFont="1" applyFill="1" applyBorder="1" applyAlignment="1"/>
    <xf numFmtId="275" fontId="73" fillId="0" borderId="0" xfId="4" applyNumberFormat="1" applyFont="1" applyFill="1" applyBorder="1"/>
    <xf numFmtId="275" fontId="73" fillId="0" borderId="7" xfId="4" applyNumberFormat="1" applyFont="1" applyFill="1" applyBorder="1"/>
    <xf numFmtId="275" fontId="110" fillId="0" borderId="0" xfId="4" applyNumberFormat="1" applyFont="1" applyFill="1" applyBorder="1"/>
    <xf numFmtId="37" fontId="73" fillId="0" borderId="8" xfId="21" applyFont="1" applyBorder="1" applyAlignment="1">
      <alignment horizontal="left"/>
    </xf>
    <xf numFmtId="275" fontId="73" fillId="0" borderId="4" xfId="4" applyNumberFormat="1" applyFont="1" applyFill="1" applyBorder="1"/>
    <xf numFmtId="275" fontId="73" fillId="0" borderId="9" xfId="4" applyNumberFormat="1" applyFont="1" applyFill="1" applyBorder="1"/>
    <xf numFmtId="40" fontId="73" fillId="0" borderId="0" xfId="4" applyFont="1" applyFill="1"/>
    <xf numFmtId="0" fontId="85" fillId="0" borderId="20" xfId="0" applyFont="1" applyBorder="1"/>
    <xf numFmtId="0" fontId="108" fillId="0" borderId="24" xfId="0" applyFont="1" applyBorder="1"/>
    <xf numFmtId="0" fontId="108" fillId="0" borderId="21" xfId="0" applyFont="1" applyBorder="1"/>
    <xf numFmtId="0" fontId="108" fillId="0" borderId="7" xfId="0" applyFont="1" applyBorder="1"/>
    <xf numFmtId="41" fontId="73" fillId="0" borderId="25" xfId="0" applyNumberFormat="1" applyFont="1" applyBorder="1"/>
    <xf numFmtId="41" fontId="73" fillId="0" borderId="26" xfId="0" applyNumberFormat="1" applyFont="1" applyBorder="1"/>
    <xf numFmtId="41" fontId="73" fillId="0" borderId="27" xfId="0" applyNumberFormat="1" applyFont="1" applyBorder="1"/>
    <xf numFmtId="0" fontId="106" fillId="0" borderId="6" xfId="0" applyFont="1" applyBorder="1"/>
    <xf numFmtId="43" fontId="73" fillId="0" borderId="25" xfId="3" applyFont="1" applyBorder="1"/>
    <xf numFmtId="44" fontId="73" fillId="0" borderId="0" xfId="5" applyFont="1" applyBorder="1"/>
    <xf numFmtId="43" fontId="110" fillId="0" borderId="26" xfId="3" applyFont="1" applyBorder="1"/>
    <xf numFmtId="43" fontId="113" fillId="0" borderId="0" xfId="3" applyNumberFormat="1" applyFont="1" applyBorder="1"/>
    <xf numFmtId="43" fontId="73" fillId="0" borderId="26" xfId="3" applyFont="1" applyBorder="1"/>
    <xf numFmtId="0" fontId="73" fillId="0" borderId="26" xfId="0" applyFont="1" applyBorder="1"/>
    <xf numFmtId="40" fontId="73" fillId="0" borderId="0" xfId="0" applyNumberFormat="1" applyFont="1" applyBorder="1"/>
    <xf numFmtId="43" fontId="73" fillId="0" borderId="27" xfId="3" applyFont="1" applyBorder="1"/>
    <xf numFmtId="43" fontId="73" fillId="0" borderId="27" xfId="0" applyNumberFormat="1" applyFont="1" applyBorder="1"/>
    <xf numFmtId="44" fontId="73" fillId="0" borderId="4" xfId="5" applyNumberFormat="1" applyFont="1" applyBorder="1"/>
    <xf numFmtId="44" fontId="73" fillId="0" borderId="4" xfId="5" applyFont="1" applyBorder="1"/>
    <xf numFmtId="44" fontId="73" fillId="0" borderId="9" xfId="5" applyFont="1" applyBorder="1"/>
    <xf numFmtId="44" fontId="73" fillId="0" borderId="0" xfId="5" applyNumberFormat="1" applyFont="1"/>
    <xf numFmtId="44" fontId="73" fillId="0" borderId="0" xfId="5" applyFont="1"/>
    <xf numFmtId="7" fontId="45" fillId="0" borderId="25" xfId="0" applyNumberFormat="1" applyFont="1" applyBorder="1"/>
    <xf numFmtId="7" fontId="45" fillId="0" borderId="26" xfId="0" applyNumberFormat="1" applyFont="1" applyBorder="1"/>
    <xf numFmtId="7" fontId="45" fillId="0" borderId="27" xfId="0" applyNumberFormat="1" applyFont="1" applyBorder="1"/>
    <xf numFmtId="0" fontId="99" fillId="0" borderId="6" xfId="0" applyFont="1" applyBorder="1"/>
    <xf numFmtId="7" fontId="131" fillId="0" borderId="0" xfId="3" applyNumberFormat="1" applyFont="1" applyBorder="1"/>
    <xf numFmtId="40" fontId="73" fillId="0" borderId="0" xfId="4" applyFont="1" applyFill="1" applyBorder="1"/>
    <xf numFmtId="40" fontId="73" fillId="0" borderId="7" xfId="4" applyFont="1" applyFill="1" applyBorder="1"/>
    <xf numFmtId="10" fontId="73" fillId="0" borderId="0" xfId="23" applyNumberFormat="1" applyFont="1" applyFill="1" applyBorder="1"/>
    <xf numFmtId="39" fontId="73" fillId="0" borderId="0" xfId="21" applyNumberFormat="1" applyFont="1" applyFill="1" applyBorder="1" applyAlignment="1"/>
    <xf numFmtId="37" fontId="99" fillId="0" borderId="6" xfId="21" applyFont="1" applyBorder="1" applyAlignment="1">
      <alignment horizontal="left"/>
    </xf>
    <xf numFmtId="40" fontId="99" fillId="0" borderId="0" xfId="4" applyFont="1" applyFill="1" applyBorder="1"/>
    <xf numFmtId="37" fontId="99" fillId="0" borderId="8" xfId="21" applyFont="1" applyBorder="1" applyAlignment="1">
      <alignment horizontal="left"/>
    </xf>
    <xf numFmtId="40" fontId="99" fillId="0" borderId="4" xfId="4" applyFont="1" applyFill="1" applyBorder="1"/>
    <xf numFmtId="171" fontId="99" fillId="8" borderId="0" xfId="23" applyNumberFormat="1" applyFont="1" applyFill="1"/>
    <xf numFmtId="203" fontId="73" fillId="0" borderId="0" xfId="5" applyNumberFormat="1" applyFont="1" applyFill="1"/>
    <xf numFmtId="38" fontId="99" fillId="0" borderId="0" xfId="0" applyNumberFormat="1" applyFont="1"/>
    <xf numFmtId="171" fontId="73" fillId="0" borderId="0" xfId="23" applyNumberFormat="1" applyFont="1"/>
    <xf numFmtId="171" fontId="110" fillId="0" borderId="0" xfId="23" applyNumberFormat="1" applyFont="1"/>
    <xf numFmtId="37" fontId="110" fillId="0" borderId="0" xfId="21" applyFont="1" applyFill="1" applyAlignment="1"/>
    <xf numFmtId="206" fontId="45" fillId="0" borderId="0" xfId="3" applyNumberFormat="1" applyFont="1"/>
    <xf numFmtId="8" fontId="99" fillId="0" borderId="0" xfId="6" applyFont="1" applyFill="1"/>
    <xf numFmtId="10" fontId="73" fillId="0" borderId="0" xfId="23" applyNumberFormat="1" applyFont="1" applyFill="1"/>
    <xf numFmtId="8" fontId="73" fillId="0" borderId="0" xfId="6" applyFont="1" applyFill="1"/>
    <xf numFmtId="208" fontId="45" fillId="0" borderId="0" xfId="0" applyNumberFormat="1" applyFont="1"/>
    <xf numFmtId="9" fontId="109" fillId="2" borderId="25" xfId="23" applyFont="1" applyFill="1" applyBorder="1" applyAlignment="1">
      <alignment horizontal="left"/>
    </xf>
    <xf numFmtId="0" fontId="101" fillId="2" borderId="27" xfId="0" applyFont="1" applyFill="1" applyBorder="1"/>
    <xf numFmtId="1" fontId="106" fillId="2" borderId="24" xfId="0" applyNumberFormat="1" applyFont="1" applyFill="1" applyBorder="1" applyAlignment="1" applyProtection="1">
      <alignment horizontal="center"/>
    </xf>
    <xf numFmtId="1" fontId="106" fillId="2" borderId="21" xfId="0" applyNumberFormat="1" applyFont="1" applyFill="1" applyBorder="1" applyAlignment="1" applyProtection="1">
      <alignment horizontal="center"/>
    </xf>
    <xf numFmtId="37" fontId="45" fillId="0" borderId="0" xfId="21" applyFont="1" applyBorder="1" applyAlignment="1">
      <alignment horizontal="left"/>
    </xf>
    <xf numFmtId="37" fontId="45" fillId="0" borderId="0" xfId="21" applyFont="1" applyBorder="1" applyAlignment="1"/>
    <xf numFmtId="203" fontId="45" fillId="0" borderId="0" xfId="5" applyNumberFormat="1" applyFont="1" applyFill="1" applyBorder="1"/>
    <xf numFmtId="203" fontId="45" fillId="0" borderId="7" xfId="5" applyNumberFormat="1" applyFont="1" applyFill="1" applyBorder="1"/>
    <xf numFmtId="37" fontId="45" fillId="0" borderId="0" xfId="21" applyFont="1" applyAlignment="1"/>
    <xf numFmtId="176" fontId="73" fillId="0" borderId="0" xfId="21" applyNumberFormat="1" applyFont="1" applyBorder="1" applyAlignment="1"/>
    <xf numFmtId="0" fontId="45" fillId="0" borderId="6" xfId="0" applyFont="1" applyFill="1" applyBorder="1"/>
    <xf numFmtId="0" fontId="45" fillId="0" borderId="0" xfId="0" applyFont="1" applyFill="1" applyBorder="1"/>
    <xf numFmtId="43" fontId="45" fillId="0" borderId="0" xfId="3" applyFont="1" applyFill="1" applyBorder="1"/>
    <xf numFmtId="43" fontId="45" fillId="0" borderId="7" xfId="3" applyFont="1" applyFill="1" applyBorder="1"/>
    <xf numFmtId="43" fontId="126" fillId="0" borderId="0" xfId="3" applyFont="1" applyFill="1"/>
    <xf numFmtId="0" fontId="45" fillId="0" borderId="0" xfId="0" applyFont="1" applyFill="1"/>
    <xf numFmtId="10" fontId="45" fillId="0" borderId="0" xfId="23" applyNumberFormat="1" applyFont="1" applyFill="1" applyBorder="1"/>
    <xf numFmtId="10" fontId="45" fillId="0" borderId="7" xfId="23" applyNumberFormat="1" applyFont="1" applyFill="1" applyBorder="1"/>
    <xf numFmtId="0" fontId="45" fillId="0" borderId="8" xfId="0" applyFont="1" applyFill="1" applyBorder="1"/>
    <xf numFmtId="0" fontId="45" fillId="0" borderId="4" xfId="0" applyFont="1" applyFill="1" applyBorder="1"/>
    <xf numFmtId="10" fontId="45" fillId="0" borderId="4" xfId="23" applyNumberFormat="1" applyFont="1" applyFill="1" applyBorder="1"/>
    <xf numFmtId="10" fontId="45" fillId="0" borderId="9" xfId="23" applyNumberFormat="1" applyFont="1" applyFill="1" applyBorder="1"/>
    <xf numFmtId="206" fontId="45" fillId="0" borderId="0" xfId="3" applyNumberFormat="1" applyFont="1" applyFill="1"/>
    <xf numFmtId="0" fontId="101" fillId="0" borderId="20" xfId="0" applyFont="1" applyFill="1" applyBorder="1"/>
    <xf numFmtId="0" fontId="45" fillId="0" borderId="24" xfId="0" applyFont="1" applyFill="1" applyBorder="1"/>
    <xf numFmtId="203" fontId="45" fillId="0" borderId="24" xfId="5" applyNumberFormat="1" applyFont="1" applyFill="1" applyBorder="1"/>
    <xf numFmtId="203" fontId="45" fillId="0" borderId="21" xfId="5" applyNumberFormat="1" applyFont="1" applyFill="1" applyBorder="1"/>
    <xf numFmtId="0" fontId="101" fillId="0" borderId="6" xfId="0" applyFont="1" applyFill="1" applyBorder="1"/>
    <xf numFmtId="206" fontId="45" fillId="0" borderId="0" xfId="3" applyNumberFormat="1" applyFont="1" applyFill="1" applyBorder="1"/>
    <xf numFmtId="206" fontId="45" fillId="0" borderId="7" xfId="3" applyNumberFormat="1" applyFont="1" applyFill="1" applyBorder="1"/>
    <xf numFmtId="14" fontId="106" fillId="0" borderId="0" xfId="0" applyNumberFormat="1" applyFont="1" applyBorder="1" applyProtection="1"/>
    <xf numFmtId="203" fontId="45" fillId="0" borderId="0" xfId="5" applyNumberFormat="1" applyFont="1" applyBorder="1"/>
    <xf numFmtId="206" fontId="132" fillId="0" borderId="0" xfId="3" applyNumberFormat="1" applyFont="1" applyFill="1" applyBorder="1"/>
    <xf numFmtId="0" fontId="101" fillId="0" borderId="8" xfId="0" applyFont="1" applyFill="1" applyBorder="1"/>
    <xf numFmtId="203" fontId="101" fillId="0" borderId="4" xfId="5" applyNumberFormat="1" applyFont="1" applyFill="1" applyBorder="1"/>
    <xf numFmtId="206" fontId="101" fillId="0" borderId="4" xfId="3" applyNumberFormat="1" applyFont="1" applyFill="1" applyBorder="1"/>
    <xf numFmtId="206" fontId="45" fillId="0" borderId="4" xfId="0" applyNumberFormat="1" applyFont="1" applyFill="1" applyBorder="1"/>
    <xf numFmtId="206" fontId="45" fillId="0" borderId="9" xfId="0" applyNumberFormat="1" applyFont="1" applyFill="1" applyBorder="1"/>
    <xf numFmtId="6" fontId="45" fillId="0" borderId="0" xfId="0" applyNumberFormat="1" applyFont="1"/>
    <xf numFmtId="206" fontId="45" fillId="0" borderId="0" xfId="0" applyNumberFormat="1" applyFont="1"/>
    <xf numFmtId="43" fontId="45" fillId="0" borderId="0" xfId="3" applyNumberFormat="1" applyFont="1"/>
    <xf numFmtId="38" fontId="126" fillId="0" borderId="24" xfId="0" applyNumberFormat="1" applyFont="1" applyBorder="1"/>
    <xf numFmtId="206" fontId="45" fillId="0" borderId="24" xfId="3" applyNumberFormat="1" applyFont="1" applyBorder="1"/>
    <xf numFmtId="43" fontId="126" fillId="0" borderId="0" xfId="3" applyFont="1" applyBorder="1"/>
    <xf numFmtId="10" fontId="126" fillId="0" borderId="0" xfId="23" applyNumberFormat="1" applyFont="1" applyBorder="1"/>
    <xf numFmtId="206" fontId="45" fillId="0" borderId="0" xfId="3" applyNumberFormat="1" applyFont="1" applyBorder="1"/>
    <xf numFmtId="206" fontId="45" fillId="0" borderId="7" xfId="3" applyNumberFormat="1" applyFont="1" applyBorder="1"/>
    <xf numFmtId="0" fontId="45" fillId="0" borderId="8" xfId="0" applyFont="1" applyBorder="1"/>
    <xf numFmtId="43" fontId="45" fillId="0" borderId="4" xfId="3" applyNumberFormat="1" applyFont="1" applyBorder="1"/>
    <xf numFmtId="206" fontId="45" fillId="0" borderId="4" xfId="3" applyNumberFormat="1" applyFont="1" applyBorder="1"/>
    <xf numFmtId="206" fontId="45" fillId="0" borderId="9" xfId="3" applyNumberFormat="1" applyFont="1" applyBorder="1"/>
    <xf numFmtId="9" fontId="126" fillId="0" borderId="0" xfId="23" applyNumberFormat="1" applyFont="1" applyBorder="1"/>
    <xf numFmtId="10" fontId="73" fillId="0" borderId="4" xfId="23" applyNumberFormat="1" applyFont="1" applyFill="1" applyBorder="1"/>
    <xf numFmtId="43" fontId="45" fillId="0" borderId="4" xfId="0" applyNumberFormat="1" applyFont="1" applyFill="1" applyBorder="1"/>
    <xf numFmtId="210" fontId="45" fillId="0" borderId="0" xfId="3" applyNumberFormat="1" applyFont="1"/>
    <xf numFmtId="38" fontId="126" fillId="0" borderId="24" xfId="0" applyNumberFormat="1" applyFont="1" applyFill="1" applyBorder="1"/>
    <xf numFmtId="206" fontId="45" fillId="0" borderId="24" xfId="3" applyNumberFormat="1" applyFont="1" applyFill="1" applyBorder="1"/>
    <xf numFmtId="209" fontId="45" fillId="0" borderId="24" xfId="3" applyNumberFormat="1" applyFont="1" applyFill="1" applyBorder="1"/>
    <xf numFmtId="0" fontId="45" fillId="0" borderId="21" xfId="0" applyFont="1" applyFill="1" applyBorder="1"/>
    <xf numFmtId="43" fontId="126" fillId="0" borderId="0" xfId="3" applyFont="1" applyFill="1" applyBorder="1"/>
    <xf numFmtId="10" fontId="126" fillId="0" borderId="0" xfId="23" applyNumberFormat="1" applyFont="1" applyFill="1" applyBorder="1"/>
    <xf numFmtId="9" fontId="45" fillId="0" borderId="0" xfId="23" applyNumberFormat="1" applyFont="1" applyBorder="1"/>
    <xf numFmtId="206" fontId="45" fillId="0" borderId="0" xfId="0" applyNumberFormat="1" applyFont="1" applyFill="1" applyBorder="1"/>
    <xf numFmtId="206" fontId="45" fillId="0" borderId="7" xfId="0" applyNumberFormat="1" applyFont="1" applyFill="1" applyBorder="1"/>
    <xf numFmtId="43" fontId="45" fillId="0" borderId="0" xfId="0" applyNumberFormat="1" applyFont="1" applyFill="1"/>
    <xf numFmtId="0" fontId="101" fillId="0" borderId="18" xfId="0" applyFont="1" applyBorder="1"/>
    <xf numFmtId="0" fontId="45" fillId="0" borderId="11" xfId="0" applyFont="1" applyFill="1" applyBorder="1"/>
    <xf numFmtId="206" fontId="45" fillId="0" borderId="11" xfId="3" applyNumberFormat="1" applyFont="1" applyFill="1" applyBorder="1"/>
    <xf numFmtId="206" fontId="45" fillId="0" borderId="12" xfId="3" applyNumberFormat="1" applyFont="1" applyFill="1" applyBorder="1"/>
    <xf numFmtId="0" fontId="45" fillId="0" borderId="13" xfId="0" applyFont="1" applyFill="1" applyBorder="1"/>
    <xf numFmtId="203" fontId="45" fillId="0" borderId="14" xfId="5" applyNumberFormat="1" applyFont="1" applyFill="1" applyBorder="1"/>
    <xf numFmtId="206" fontId="45" fillId="0" borderId="14" xfId="3" applyNumberFormat="1" applyFont="1" applyFill="1" applyBorder="1"/>
    <xf numFmtId="38" fontId="126" fillId="0" borderId="0" xfId="0" applyNumberFormat="1" applyFont="1" applyFill="1" applyBorder="1"/>
    <xf numFmtId="43" fontId="45" fillId="0" borderId="0" xfId="3" applyNumberFormat="1" applyFont="1" applyFill="1" applyBorder="1"/>
    <xf numFmtId="0" fontId="45" fillId="0" borderId="13" xfId="0" applyFont="1" applyBorder="1"/>
    <xf numFmtId="10" fontId="45" fillId="0" borderId="0" xfId="23" applyNumberFormat="1" applyFont="1" applyBorder="1"/>
    <xf numFmtId="43" fontId="45" fillId="0" borderId="0" xfId="0" applyNumberFormat="1" applyFont="1" applyBorder="1"/>
    <xf numFmtId="43" fontId="45" fillId="0" borderId="14" xfId="0" applyNumberFormat="1" applyFont="1" applyBorder="1"/>
    <xf numFmtId="0" fontId="45" fillId="0" borderId="16" xfId="0" applyFont="1" applyBorder="1"/>
    <xf numFmtId="10" fontId="45" fillId="0" borderId="15" xfId="23" applyNumberFormat="1" applyFont="1" applyBorder="1"/>
    <xf numFmtId="0" fontId="45" fillId="0" borderId="15" xfId="0" applyFont="1" applyBorder="1"/>
    <xf numFmtId="206" fontId="45" fillId="0" borderId="15" xfId="0" applyNumberFormat="1" applyFont="1" applyBorder="1"/>
    <xf numFmtId="206" fontId="45" fillId="0" borderId="17" xfId="0" applyNumberFormat="1" applyFont="1" applyBorder="1"/>
    <xf numFmtId="14" fontId="106" fillId="0" borderId="0" xfId="0" applyNumberFormat="1" applyFont="1" applyBorder="1"/>
    <xf numFmtId="14" fontId="106" fillId="0" borderId="7" xfId="0" applyNumberFormat="1" applyFont="1" applyBorder="1"/>
    <xf numFmtId="9" fontId="73" fillId="0" borderId="0" xfId="0" applyNumberFormat="1" applyFont="1" applyBorder="1"/>
    <xf numFmtId="9" fontId="73" fillId="0" borderId="7" xfId="0" applyNumberFormat="1" applyFont="1" applyBorder="1"/>
    <xf numFmtId="6" fontId="45" fillId="0" borderId="0" xfId="0" applyNumberFormat="1" applyFont="1" applyBorder="1"/>
    <xf numFmtId="2" fontId="73" fillId="0" borderId="0" xfId="0" applyNumberFormat="1" applyFont="1" applyBorder="1" applyAlignment="1">
      <alignment horizontal="right"/>
    </xf>
    <xf numFmtId="2" fontId="73" fillId="0" borderId="7" xfId="0" applyNumberFormat="1" applyFont="1" applyBorder="1" applyAlignment="1">
      <alignment horizontal="right"/>
    </xf>
    <xf numFmtId="171" fontId="73" fillId="0" borderId="0" xfId="23" applyNumberFormat="1" applyFont="1" applyBorder="1"/>
    <xf numFmtId="2" fontId="73" fillId="0" borderId="0" xfId="0" applyNumberFormat="1" applyFont="1" applyBorder="1"/>
    <xf numFmtId="2" fontId="73" fillId="0" borderId="7" xfId="0" applyNumberFormat="1" applyFont="1" applyBorder="1"/>
    <xf numFmtId="43" fontId="73" fillId="0" borderId="0" xfId="0" applyNumberFormat="1" applyFont="1" applyBorder="1" applyAlignment="1">
      <alignment horizontal="right"/>
    </xf>
    <xf numFmtId="43" fontId="73" fillId="0" borderId="7" xfId="0" applyNumberFormat="1" applyFont="1" applyBorder="1" applyAlignment="1">
      <alignment horizontal="right"/>
    </xf>
    <xf numFmtId="9" fontId="73" fillId="0" borderId="7" xfId="23" applyFont="1" applyBorder="1"/>
    <xf numFmtId="9" fontId="73" fillId="0" borderId="4" xfId="23" applyFont="1" applyBorder="1"/>
    <xf numFmtId="9" fontId="73" fillId="0" borderId="9" xfId="23" applyFont="1" applyBorder="1"/>
    <xf numFmtId="43" fontId="73" fillId="0" borderId="0" xfId="3" applyNumberFormat="1" applyFont="1"/>
    <xf numFmtId="7" fontId="45" fillId="0" borderId="0" xfId="0" applyNumberFormat="1" applyFont="1"/>
    <xf numFmtId="0" fontId="104" fillId="0" borderId="0" xfId="0" applyFont="1" applyBorder="1"/>
    <xf numFmtId="0" fontId="133" fillId="0" borderId="0" xfId="22" applyFont="1"/>
    <xf numFmtId="0" fontId="133" fillId="0" borderId="0" xfId="22" applyFont="1" applyAlignment="1">
      <alignment horizontal="center"/>
    </xf>
    <xf numFmtId="0" fontId="122" fillId="0" borderId="0" xfId="22" applyFont="1"/>
    <xf numFmtId="0" fontId="133" fillId="2" borderId="9" xfId="22" applyFont="1" applyFill="1" applyBorder="1"/>
    <xf numFmtId="0" fontId="101" fillId="0" borderId="0" xfId="0" applyFont="1" applyBorder="1"/>
    <xf numFmtId="0" fontId="112" fillId="0" borderId="0" xfId="22" applyFont="1" applyBorder="1"/>
    <xf numFmtId="0" fontId="133" fillId="0" borderId="0" xfId="22" applyFont="1" applyBorder="1"/>
    <xf numFmtId="0" fontId="112" fillId="0" borderId="0" xfId="22" applyFont="1" applyAlignment="1">
      <alignment horizontal="center"/>
    </xf>
    <xf numFmtId="0" fontId="112" fillId="0" borderId="20" xfId="22" applyFont="1" applyBorder="1"/>
    <xf numFmtId="0" fontId="122" fillId="0" borderId="24" xfId="22" applyFont="1" applyBorder="1"/>
    <xf numFmtId="5" fontId="131" fillId="0" borderId="21" xfId="22" applyNumberFormat="1" applyFont="1" applyBorder="1"/>
    <xf numFmtId="5" fontId="118" fillId="0" borderId="0" xfId="22" applyNumberFormat="1" applyFont="1" applyBorder="1"/>
    <xf numFmtId="0" fontId="112" fillId="0" borderId="6" xfId="22" applyFont="1" applyBorder="1"/>
    <xf numFmtId="0" fontId="122" fillId="0" borderId="0" xfId="22" applyFont="1" applyBorder="1"/>
    <xf numFmtId="10" fontId="112" fillId="0" borderId="7" xfId="22" applyNumberFormat="1" applyFont="1" applyBorder="1"/>
    <xf numFmtId="10" fontId="112" fillId="0" borderId="0" xfId="22" applyNumberFormat="1" applyFont="1" applyBorder="1"/>
    <xf numFmtId="6" fontId="112" fillId="0" borderId="0" xfId="7" applyNumberFormat="1" applyFont="1" applyBorder="1" applyProtection="1"/>
    <xf numFmtId="37" fontId="134" fillId="0" borderId="7" xfId="22" applyNumberFormat="1" applyFont="1" applyBorder="1"/>
    <xf numFmtId="37" fontId="112" fillId="0" borderId="0" xfId="22" applyNumberFormat="1" applyFont="1" applyBorder="1"/>
    <xf numFmtId="0" fontId="112" fillId="0" borderId="0" xfId="22" applyFont="1"/>
    <xf numFmtId="0" fontId="122" fillId="0" borderId="6" xfId="22" applyFont="1" applyBorder="1"/>
    <xf numFmtId="0" fontId="122" fillId="0" borderId="7" xfId="22" applyFont="1" applyBorder="1"/>
    <xf numFmtId="10" fontId="131" fillId="0" borderId="7" xfId="22" applyNumberFormat="1" applyFont="1" applyBorder="1"/>
    <xf numFmtId="10" fontId="131" fillId="0" borderId="0" xfId="22" applyNumberFormat="1" applyFont="1" applyBorder="1"/>
    <xf numFmtId="6" fontId="112" fillId="0" borderId="0" xfId="22" applyNumberFormat="1" applyFont="1"/>
    <xf numFmtId="37" fontId="134" fillId="0" borderId="7" xfId="22" applyNumberFormat="1" applyFont="1" applyFill="1" applyBorder="1"/>
    <xf numFmtId="37" fontId="112" fillId="0" borderId="0" xfId="22" applyNumberFormat="1" applyFont="1" applyFill="1" applyBorder="1"/>
    <xf numFmtId="10" fontId="122" fillId="0" borderId="0" xfId="22" applyNumberFormat="1" applyFont="1"/>
    <xf numFmtId="0" fontId="122" fillId="0" borderId="8" xfId="22" applyFont="1" applyBorder="1"/>
    <xf numFmtId="0" fontId="122" fillId="0" borderId="4" xfId="22" applyFont="1" applyBorder="1"/>
    <xf numFmtId="0" fontId="112" fillId="0" borderId="9" xfId="22" applyFont="1" applyBorder="1"/>
    <xf numFmtId="0" fontId="112" fillId="0" borderId="29" xfId="22" applyFont="1" applyBorder="1"/>
    <xf numFmtId="0" fontId="122" fillId="0" borderId="30" xfId="22" applyFont="1" applyBorder="1"/>
    <xf numFmtId="5" fontId="112" fillId="0" borderId="31" xfId="22" applyNumberFormat="1" applyFont="1" applyBorder="1"/>
    <xf numFmtId="5" fontId="112" fillId="0" borderId="0" xfId="22" applyNumberFormat="1" applyFont="1" applyBorder="1"/>
    <xf numFmtId="173" fontId="122" fillId="0" borderId="0" xfId="22" applyNumberFormat="1" applyFont="1"/>
    <xf numFmtId="0" fontId="112" fillId="0" borderId="3" xfId="22" applyFont="1" applyBorder="1" applyAlignment="1">
      <alignment horizontal="center"/>
    </xf>
    <xf numFmtId="0" fontId="112" fillId="0" borderId="3" xfId="22" applyFont="1" applyBorder="1" applyAlignment="1">
      <alignment horizontal="center" wrapText="1"/>
    </xf>
    <xf numFmtId="0" fontId="112" fillId="0" borderId="23" xfId="22" applyFont="1" applyBorder="1" applyAlignment="1">
      <alignment horizontal="center"/>
    </xf>
    <xf numFmtId="0" fontId="122" fillId="0" borderId="26" xfId="22" applyFont="1" applyBorder="1"/>
    <xf numFmtId="0" fontId="112" fillId="0" borderId="26" xfId="22" applyFont="1" applyBorder="1"/>
    <xf numFmtId="0" fontId="112" fillId="0" borderId="7" xfId="22" applyFont="1" applyBorder="1"/>
    <xf numFmtId="0" fontId="122" fillId="0" borderId="26" xfId="22" applyFont="1" applyBorder="1" applyAlignment="1">
      <alignment horizontal="center"/>
    </xf>
    <xf numFmtId="171" fontId="122" fillId="0" borderId="26" xfId="22" applyNumberFormat="1" applyFont="1" applyBorder="1"/>
    <xf numFmtId="5" fontId="99" fillId="0" borderId="26" xfId="22" applyNumberFormat="1" applyFont="1" applyBorder="1"/>
    <xf numFmtId="38" fontId="122" fillId="0" borderId="26" xfId="22" applyNumberFormat="1" applyFont="1" applyBorder="1"/>
    <xf numFmtId="5" fontId="122" fillId="0" borderId="7" xfId="22" applyNumberFormat="1" applyFont="1" applyBorder="1"/>
    <xf numFmtId="5" fontId="122" fillId="0" borderId="26" xfId="22" applyNumberFormat="1" applyFont="1" applyBorder="1"/>
    <xf numFmtId="0" fontId="122" fillId="0" borderId="27" xfId="22" applyFont="1" applyBorder="1" applyAlignment="1">
      <alignment horizontal="center"/>
    </xf>
    <xf numFmtId="171" fontId="122" fillId="0" borderId="27" xfId="22" applyNumberFormat="1" applyFont="1" applyBorder="1"/>
    <xf numFmtId="5" fontId="99" fillId="0" borderId="27" xfId="22" applyNumberFormat="1" applyFont="1" applyBorder="1"/>
    <xf numFmtId="38" fontId="122" fillId="0" borderId="27" xfId="22" applyNumberFormat="1" applyFont="1" applyBorder="1"/>
    <xf numFmtId="5" fontId="122" fillId="0" borderId="27" xfId="22" applyNumberFormat="1" applyFont="1" applyBorder="1"/>
    <xf numFmtId="5" fontId="122" fillId="0" borderId="9" xfId="22" applyNumberFormat="1" applyFont="1" applyBorder="1"/>
    <xf numFmtId="171" fontId="45" fillId="0" borderId="0" xfId="0" applyNumberFormat="1" applyFont="1"/>
    <xf numFmtId="171" fontId="122" fillId="0" borderId="0" xfId="22" applyNumberFormat="1" applyFont="1" applyBorder="1"/>
    <xf numFmtId="171" fontId="99" fillId="0" borderId="0" xfId="22" applyNumberFormat="1" applyFont="1" applyBorder="1"/>
    <xf numFmtId="5" fontId="122" fillId="0" borderId="0" xfId="22" applyNumberFormat="1" applyFont="1" applyBorder="1"/>
    <xf numFmtId="5" fontId="122" fillId="0" borderId="0" xfId="22" applyNumberFormat="1" applyFont="1"/>
    <xf numFmtId="0" fontId="92" fillId="0" borderId="7" xfId="0" applyFont="1" applyBorder="1" applyAlignment="1">
      <alignment horizontal="center" wrapText="1"/>
    </xf>
    <xf numFmtId="42" fontId="89" fillId="0" borderId="7" xfId="0" applyNumberFormat="1" applyFont="1" applyBorder="1"/>
    <xf numFmtId="42" fontId="94" fillId="0" borderId="9" xfId="0" applyNumberFormat="1" applyFont="1" applyBorder="1"/>
    <xf numFmtId="203" fontId="94" fillId="0" borderId="0" xfId="5" applyNumberFormat="1" applyFont="1" applyBorder="1"/>
    <xf numFmtId="0" fontId="94" fillId="0" borderId="0" xfId="0" applyFont="1" applyBorder="1"/>
    <xf numFmtId="42" fontId="94" fillId="0" borderId="7" xfId="0" applyNumberFormat="1" applyFont="1" applyBorder="1"/>
    <xf numFmtId="0" fontId="108" fillId="0" borderId="22" xfId="0" applyFont="1" applyBorder="1" applyAlignment="1" applyProtection="1">
      <alignment horizontal="left"/>
    </xf>
    <xf numFmtId="0" fontId="98" fillId="0" borderId="23" xfId="0" applyFont="1" applyBorder="1" applyAlignment="1">
      <alignment horizontal="center"/>
    </xf>
    <xf numFmtId="203" fontId="110" fillId="0" borderId="0" xfId="5" applyNumberFormat="1" applyFont="1" applyFill="1" applyBorder="1"/>
    <xf numFmtId="43" fontId="73" fillId="0" borderId="0" xfId="3" applyNumberFormat="1" applyFont="1" applyBorder="1"/>
    <xf numFmtId="40" fontId="89" fillId="0" borderId="7" xfId="0" applyNumberFormat="1" applyFont="1" applyBorder="1"/>
    <xf numFmtId="43" fontId="82" fillId="0" borderId="7" xfId="0" applyNumberFormat="1" applyFont="1" applyBorder="1"/>
    <xf numFmtId="0" fontId="124" fillId="4" borderId="20" xfId="0" applyFont="1" applyFill="1" applyBorder="1" applyAlignment="1" applyProtection="1">
      <alignment horizontal="left"/>
    </xf>
    <xf numFmtId="203" fontId="94" fillId="4" borderId="24" xfId="5" applyNumberFormat="1" applyFont="1" applyFill="1" applyBorder="1" applyProtection="1">
      <protection locked="0"/>
    </xf>
    <xf numFmtId="317" fontId="94" fillId="4" borderId="24" xfId="0" applyNumberFormat="1" applyFont="1" applyFill="1" applyBorder="1"/>
    <xf numFmtId="6" fontId="94" fillId="4" borderId="24" xfId="0" applyNumberFormat="1" applyFont="1" applyFill="1" applyBorder="1"/>
    <xf numFmtId="42" fontId="94" fillId="4" borderId="21" xfId="0" applyNumberFormat="1" applyFont="1" applyFill="1" applyBorder="1"/>
    <xf numFmtId="38" fontId="83" fillId="0" borderId="0" xfId="5" applyNumberFormat="1" applyFont="1" applyBorder="1" applyProtection="1">
      <protection locked="0"/>
    </xf>
    <xf numFmtId="42" fontId="82" fillId="0" borderId="0" xfId="0" applyNumberFormat="1" applyFont="1" applyBorder="1"/>
    <xf numFmtId="171" fontId="82" fillId="0" borderId="7" xfId="23" applyNumberFormat="1" applyFont="1" applyBorder="1"/>
    <xf numFmtId="42" fontId="89" fillId="0" borderId="0" xfId="0" applyNumberFormat="1" applyFont="1" applyBorder="1"/>
    <xf numFmtId="9" fontId="94" fillId="0" borderId="7" xfId="23" applyFont="1" applyBorder="1"/>
    <xf numFmtId="42" fontId="82" fillId="0" borderId="4" xfId="0" applyNumberFormat="1" applyFont="1" applyBorder="1"/>
    <xf numFmtId="171" fontId="0" fillId="0" borderId="0" xfId="23" applyNumberFormat="1" applyFont="1"/>
    <xf numFmtId="0" fontId="1" fillId="0" borderId="20" xfId="0" applyFont="1" applyBorder="1" applyAlignment="1">
      <alignment wrapText="1"/>
    </xf>
    <xf numFmtId="10" fontId="0" fillId="0" borderId="21" xfId="23" applyNumberFormat="1" applyFont="1" applyBorder="1"/>
    <xf numFmtId="10" fontId="0" fillId="0" borderId="0" xfId="23" applyNumberFormat="1" applyFont="1" applyBorder="1"/>
    <xf numFmtId="0" fontId="1" fillId="0" borderId="6" xfId="0" applyFont="1" applyBorder="1" applyAlignment="1">
      <alignment wrapText="1"/>
    </xf>
    <xf numFmtId="8" fontId="0" fillId="0" borderId="7" xfId="23" applyNumberFormat="1" applyFont="1" applyBorder="1"/>
    <xf numFmtId="8" fontId="0" fillId="0" borderId="0" xfId="23" applyNumberFormat="1" applyFont="1" applyBorder="1"/>
    <xf numFmtId="0" fontId="1" fillId="0" borderId="6" xfId="0" applyFont="1" applyBorder="1"/>
    <xf numFmtId="0" fontId="0" fillId="0" borderId="7" xfId="0" applyBorder="1"/>
    <xf numFmtId="0" fontId="0" fillId="0" borderId="0" xfId="0" applyBorder="1"/>
    <xf numFmtId="0" fontId="1" fillId="0" borderId="8" xfId="0" applyFont="1" applyBorder="1"/>
    <xf numFmtId="0" fontId="0" fillId="0" borderId="9" xfId="0" applyBorder="1"/>
    <xf numFmtId="0" fontId="1" fillId="0" borderId="24" xfId="0" applyFont="1" applyBorder="1" applyAlignment="1">
      <alignment wrapText="1"/>
    </xf>
    <xf numFmtId="0" fontId="1" fillId="0" borderId="24" xfId="0" applyFont="1" applyBorder="1"/>
    <xf numFmtId="0" fontId="1" fillId="0" borderId="21" xfId="0" applyFont="1" applyBorder="1"/>
    <xf numFmtId="0" fontId="0" fillId="0" borderId="6" xfId="0" applyBorder="1"/>
    <xf numFmtId="38" fontId="0" fillId="0" borderId="0" xfId="0" applyNumberFormat="1" applyBorder="1"/>
    <xf numFmtId="10" fontId="0" fillId="0" borderId="7" xfId="23" applyNumberFormat="1" applyFont="1" applyBorder="1"/>
    <xf numFmtId="0" fontId="0" fillId="0" borderId="8" xfId="0" applyBorder="1"/>
    <xf numFmtId="38" fontId="0" fillId="0" borderId="4" xfId="0" applyNumberFormat="1" applyBorder="1"/>
    <xf numFmtId="10" fontId="0" fillId="0" borderId="4" xfId="23" applyNumberFormat="1" applyFont="1" applyBorder="1"/>
    <xf numFmtId="10" fontId="0" fillId="0" borderId="9" xfId="23" applyNumberFormat="1" applyFont="1" applyBorder="1"/>
    <xf numFmtId="37" fontId="108" fillId="0" borderId="0" xfId="21" applyFont="1" applyFill="1" applyBorder="1" applyAlignment="1">
      <alignment horizontal="right"/>
    </xf>
    <xf numFmtId="37" fontId="108" fillId="0" borderId="7" xfId="21" applyFont="1" applyFill="1" applyBorder="1" applyAlignment="1">
      <alignment horizontal="right"/>
    </xf>
    <xf numFmtId="203" fontId="108" fillId="0" borderId="0" xfId="5" applyNumberFormat="1" applyFont="1" applyFill="1" applyBorder="1"/>
    <xf numFmtId="203" fontId="108" fillId="0" borderId="7" xfId="5" applyNumberFormat="1" applyFont="1" applyFill="1" applyBorder="1"/>
    <xf numFmtId="38" fontId="108" fillId="0" borderId="0" xfId="6" applyNumberFormat="1" applyFont="1" applyFill="1" applyBorder="1"/>
    <xf numFmtId="38" fontId="108" fillId="0" borderId="7" xfId="6" applyNumberFormat="1" applyFont="1" applyFill="1" applyBorder="1"/>
    <xf numFmtId="203" fontId="94" fillId="0" borderId="0" xfId="5" applyNumberFormat="1" applyFont="1" applyBorder="1" applyAlignment="1" applyProtection="1">
      <alignment horizontal="center" wrapText="1"/>
      <protection locked="0"/>
    </xf>
    <xf numFmtId="317" fontId="94" fillId="0" borderId="0" xfId="0" applyNumberFormat="1" applyFont="1" applyBorder="1" applyAlignment="1">
      <alignment horizontal="center" wrapText="1"/>
    </xf>
    <xf numFmtId="0" fontId="94" fillId="0" borderId="0" xfId="0" applyFont="1" applyBorder="1" applyAlignment="1">
      <alignment horizontal="center"/>
    </xf>
    <xf numFmtId="6" fontId="94" fillId="0" borderId="0" xfId="0" applyNumberFormat="1" applyFont="1" applyBorder="1" applyAlignment="1">
      <alignment horizontal="center" wrapText="1"/>
    </xf>
    <xf numFmtId="6" fontId="82" fillId="0" borderId="4" xfId="0" applyNumberFormat="1" applyFont="1" applyBorder="1"/>
    <xf numFmtId="203" fontId="89" fillId="0" borderId="0" xfId="0" applyNumberFormat="1" applyFont="1" applyBorder="1"/>
    <xf numFmtId="203" fontId="82" fillId="0" borderId="7" xfId="0" applyNumberFormat="1" applyFont="1" applyBorder="1"/>
    <xf numFmtId="203" fontId="89" fillId="0" borderId="7" xfId="0" applyNumberFormat="1" applyFont="1" applyBorder="1"/>
    <xf numFmtId="0" fontId="82" fillId="0" borderId="19" xfId="0" applyFont="1" applyBorder="1" applyAlignment="1">
      <alignment horizontal="center"/>
    </xf>
    <xf numFmtId="43" fontId="94" fillId="0" borderId="19" xfId="0" applyNumberFormat="1" applyFont="1" applyBorder="1"/>
    <xf numFmtId="10" fontId="82" fillId="0" borderId="19" xfId="23" applyNumberFormat="1" applyFont="1" applyBorder="1"/>
    <xf numFmtId="40" fontId="94" fillId="0" borderId="23" xfId="0" applyNumberFormat="1" applyFont="1" applyBorder="1"/>
    <xf numFmtId="0" fontId="95" fillId="0" borderId="22" xfId="0" applyFont="1" applyBorder="1"/>
    <xf numFmtId="43" fontId="94" fillId="0" borderId="0" xfId="0" applyNumberFormat="1" applyFont="1" applyBorder="1"/>
    <xf numFmtId="203" fontId="94" fillId="0" borderId="0" xfId="0" applyNumberFormat="1" applyFont="1" applyBorder="1"/>
    <xf numFmtId="203" fontId="94" fillId="0" borderId="7" xfId="0" applyNumberFormat="1" applyFont="1" applyBorder="1"/>
    <xf numFmtId="206" fontId="94" fillId="0" borderId="19" xfId="0" applyNumberFormat="1" applyFont="1" applyBorder="1"/>
    <xf numFmtId="10" fontId="83" fillId="0" borderId="7" xfId="23" applyNumberFormat="1" applyFont="1" applyBorder="1" applyAlignment="1">
      <alignment horizontal="right"/>
    </xf>
    <xf numFmtId="10" fontId="83" fillId="0" borderId="7" xfId="0" applyNumberFormat="1" applyFont="1" applyBorder="1" applyProtection="1">
      <protection locked="0"/>
    </xf>
    <xf numFmtId="206" fontId="82" fillId="0" borderId="9" xfId="3" applyNumberFormat="1" applyFont="1" applyBorder="1"/>
    <xf numFmtId="171" fontId="83" fillId="0" borderId="9" xfId="23" applyNumberFormat="1" applyFont="1" applyBorder="1"/>
    <xf numFmtId="206" fontId="83" fillId="0" borderId="0" xfId="3" applyNumberFormat="1" applyFont="1" applyFill="1" applyBorder="1"/>
    <xf numFmtId="203" fontId="83" fillId="0" borderId="0" xfId="5" applyNumberFormat="1" applyFont="1" applyFill="1" applyBorder="1"/>
    <xf numFmtId="203" fontId="93" fillId="0" borderId="0" xfId="5" applyNumberFormat="1" applyFont="1" applyFill="1" applyBorder="1"/>
    <xf numFmtId="37" fontId="73" fillId="0" borderId="3" xfId="21" applyFont="1" applyBorder="1" applyAlignment="1"/>
    <xf numFmtId="41" fontId="108" fillId="0" borderId="0" xfId="6" applyNumberFormat="1" applyFont="1" applyFill="1" applyBorder="1"/>
    <xf numFmtId="41" fontId="108" fillId="0" borderId="7" xfId="6" applyNumberFormat="1" applyFont="1" applyFill="1" applyBorder="1"/>
    <xf numFmtId="206" fontId="129" fillId="0" borderId="4" xfId="5" applyNumberFormat="1" applyFont="1" applyFill="1" applyBorder="1"/>
    <xf numFmtId="38" fontId="106" fillId="0" borderId="0" xfId="5" applyNumberFormat="1" applyFont="1" applyFill="1" applyBorder="1"/>
    <xf numFmtId="38" fontId="106" fillId="0" borderId="7" xfId="5" applyNumberFormat="1" applyFont="1" applyFill="1" applyBorder="1"/>
    <xf numFmtId="0" fontId="82" fillId="4" borderId="24" xfId="0" applyFont="1" applyFill="1" applyBorder="1" applyAlignment="1">
      <alignment horizontal="right"/>
    </xf>
    <xf numFmtId="5" fontId="82" fillId="4" borderId="24" xfId="5" applyNumberFormat="1" applyFont="1" applyFill="1" applyBorder="1" applyAlignment="1">
      <alignment horizontal="center"/>
    </xf>
    <xf numFmtId="5" fontId="82" fillId="4" borderId="21" xfId="5" applyNumberFormat="1" applyFont="1" applyFill="1" applyBorder="1" applyAlignment="1">
      <alignment horizontal="center"/>
    </xf>
    <xf numFmtId="0" fontId="82" fillId="0" borderId="0" xfId="0" applyFont="1" applyBorder="1" applyAlignment="1">
      <alignment horizontal="right"/>
    </xf>
    <xf numFmtId="5" fontId="82" fillId="0" borderId="0" xfId="5" applyNumberFormat="1" applyFont="1" applyBorder="1" applyAlignment="1">
      <alignment horizontal="center"/>
    </xf>
    <xf numFmtId="10" fontId="82" fillId="0" borderId="7" xfId="23" applyNumberFormat="1" applyFont="1" applyBorder="1" applyAlignment="1">
      <alignment horizontal="center"/>
    </xf>
    <xf numFmtId="9" fontId="1" fillId="0" borderId="0" xfId="0" applyNumberFormat="1" applyFont="1"/>
    <xf numFmtId="0" fontId="1" fillId="0" borderId="0" xfId="0" applyFont="1"/>
    <xf numFmtId="0" fontId="135" fillId="0" borderId="0" xfId="0" applyFont="1"/>
    <xf numFmtId="38" fontId="0" fillId="0" borderId="0" xfId="0" applyNumberFormat="1"/>
    <xf numFmtId="0" fontId="136" fillId="0" borderId="0" xfId="0" applyFont="1"/>
    <xf numFmtId="190" fontId="0" fillId="0" borderId="0" xfId="0" applyNumberFormat="1"/>
    <xf numFmtId="172" fontId="83" fillId="14" borderId="7" xfId="0" applyNumberFormat="1" applyFont="1" applyFill="1" applyBorder="1" applyProtection="1">
      <protection locked="0"/>
    </xf>
    <xf numFmtId="0" fontId="103" fillId="0" borderId="7" xfId="0" applyFont="1" applyBorder="1" applyAlignment="1">
      <alignment horizontal="center"/>
    </xf>
    <xf numFmtId="38" fontId="89" fillId="0" borderId="7" xfId="0" applyNumberFormat="1" applyFont="1" applyBorder="1"/>
    <xf numFmtId="38" fontId="103" fillId="0" borderId="7" xfId="0" applyNumberFormat="1" applyFont="1" applyBorder="1"/>
    <xf numFmtId="206" fontId="82" fillId="0" borderId="7" xfId="0" applyNumberFormat="1" applyFont="1" applyBorder="1"/>
    <xf numFmtId="171" fontId="99" fillId="8" borderId="0" xfId="23" applyNumberFormat="1" applyFont="1" applyFill="1" applyBorder="1"/>
    <xf numFmtId="171" fontId="99" fillId="8" borderId="7" xfId="23" applyNumberFormat="1" applyFont="1" applyFill="1" applyBorder="1"/>
    <xf numFmtId="41" fontId="73" fillId="0" borderId="4" xfId="6" applyNumberFormat="1" applyFont="1" applyFill="1" applyBorder="1"/>
    <xf numFmtId="38" fontId="99" fillId="0" borderId="0" xfId="0" applyNumberFormat="1" applyFont="1" applyBorder="1"/>
    <xf numFmtId="38" fontId="99" fillId="0" borderId="7" xfId="0" applyNumberFormat="1" applyFont="1" applyBorder="1"/>
    <xf numFmtId="171" fontId="73" fillId="0" borderId="7" xfId="23" applyNumberFormat="1" applyFont="1" applyBorder="1"/>
    <xf numFmtId="171" fontId="110" fillId="0" borderId="0" xfId="23" applyNumberFormat="1" applyFont="1" applyBorder="1"/>
    <xf numFmtId="171" fontId="110" fillId="0" borderId="7" xfId="23" applyNumberFormat="1" applyFont="1" applyBorder="1"/>
    <xf numFmtId="37" fontId="110" fillId="0" borderId="0" xfId="21" applyFont="1" applyFill="1" applyBorder="1" applyAlignment="1"/>
    <xf numFmtId="37" fontId="110" fillId="0" borderId="7" xfId="21" applyFont="1" applyFill="1" applyBorder="1" applyAlignment="1"/>
    <xf numFmtId="206" fontId="110" fillId="0" borderId="0" xfId="3" applyNumberFormat="1" applyFont="1" applyBorder="1"/>
    <xf numFmtId="206" fontId="110" fillId="0" borderId="7" xfId="3" applyNumberFormat="1" applyFont="1" applyBorder="1"/>
    <xf numFmtId="206" fontId="73" fillId="0" borderId="9" xfId="3" applyNumberFormat="1" applyFont="1" applyBorder="1"/>
    <xf numFmtId="8" fontId="99" fillId="16" borderId="0" xfId="6" applyFont="1" applyFill="1" applyBorder="1"/>
    <xf numFmtId="8" fontId="99" fillId="16" borderId="7" xfId="6" applyFont="1" applyFill="1" applyBorder="1"/>
    <xf numFmtId="8" fontId="99" fillId="0" borderId="0" xfId="6" applyFont="1" applyFill="1" applyBorder="1"/>
    <xf numFmtId="8" fontId="99" fillId="0" borderId="7" xfId="6" applyFont="1" applyFill="1" applyBorder="1"/>
    <xf numFmtId="8" fontId="73" fillId="0" borderId="0" xfId="6" applyFont="1" applyFill="1" applyBorder="1"/>
    <xf numFmtId="8" fontId="73" fillId="0" borderId="7" xfId="6" applyFont="1" applyFill="1" applyBorder="1"/>
    <xf numFmtId="8" fontId="99" fillId="0" borderId="4" xfId="6" applyFont="1" applyFill="1" applyBorder="1"/>
    <xf numFmtId="8" fontId="99" fillId="0" borderId="9" xfId="6" applyFont="1" applyFill="1" applyBorder="1"/>
    <xf numFmtId="38" fontId="45" fillId="0" borderId="21" xfId="0" applyNumberFormat="1" applyFont="1" applyBorder="1"/>
    <xf numFmtId="10" fontId="45" fillId="0" borderId="7" xfId="0" applyNumberFormat="1" applyFont="1" applyBorder="1"/>
    <xf numFmtId="37" fontId="101" fillId="0" borderId="0" xfId="0" applyNumberFormat="1" applyFont="1"/>
    <xf numFmtId="37" fontId="137" fillId="0" borderId="0" xfId="21" applyFont="1" applyAlignment="1">
      <alignment horizontal="left"/>
    </xf>
    <xf numFmtId="37" fontId="137" fillId="0" borderId="0" xfId="21" applyFont="1" applyFill="1" applyAlignment="1"/>
    <xf numFmtId="37" fontId="138" fillId="0" borderId="0" xfId="21" applyFont="1" applyFill="1" applyAlignment="1"/>
    <xf numFmtId="203" fontId="45" fillId="0" borderId="0" xfId="5" applyNumberFormat="1" applyFont="1"/>
    <xf numFmtId="203" fontId="138" fillId="0" borderId="0" xfId="5" applyNumberFormat="1" applyFont="1"/>
    <xf numFmtId="203" fontId="138" fillId="0" borderId="3" xfId="5" applyNumberFormat="1" applyFont="1" applyFill="1" applyBorder="1"/>
    <xf numFmtId="203" fontId="138" fillId="0" borderId="0" xfId="5" applyNumberFormat="1" applyFont="1" applyFill="1"/>
    <xf numFmtId="10" fontId="138" fillId="0" borderId="0" xfId="23" applyNumberFormat="1" applyFont="1"/>
    <xf numFmtId="203" fontId="138" fillId="8" borderId="0" xfId="5" applyNumberFormat="1" applyFont="1" applyFill="1"/>
    <xf numFmtId="203" fontId="137" fillId="0" borderId="0" xfId="5" applyNumberFormat="1" applyFont="1" applyFill="1"/>
    <xf numFmtId="43" fontId="138" fillId="0" borderId="0" xfId="3" applyNumberFormat="1" applyFont="1" applyFill="1"/>
    <xf numFmtId="10" fontId="138" fillId="0" borderId="0" xfId="23" applyNumberFormat="1" applyFont="1" applyFill="1"/>
    <xf numFmtId="0" fontId="45" fillId="0" borderId="0" xfId="0" applyFont="1" applyAlignment="1">
      <alignment horizontal="right"/>
    </xf>
    <xf numFmtId="9" fontId="45" fillId="0" borderId="0" xfId="23" applyFont="1"/>
    <xf numFmtId="10" fontId="126" fillId="0" borderId="0" xfId="23" applyNumberFormat="1" applyFont="1"/>
    <xf numFmtId="43" fontId="138" fillId="0" borderId="0" xfId="3" applyFont="1" applyFill="1"/>
    <xf numFmtId="203" fontId="83" fillId="0" borderId="0" xfId="5" applyNumberFormat="1" applyFont="1" applyFill="1" applyBorder="1" applyProtection="1"/>
    <xf numFmtId="203" fontId="94" fillId="0" borderId="7" xfId="0" applyNumberFormat="1" applyFont="1" applyFill="1" applyBorder="1" applyAlignment="1">
      <alignment horizontal="right"/>
    </xf>
    <xf numFmtId="1" fontId="101" fillId="0" borderId="0" xfId="0" applyNumberFormat="1" applyFont="1"/>
    <xf numFmtId="171" fontId="83" fillId="0" borderId="0" xfId="0" applyNumberFormat="1" applyFont="1" applyBorder="1"/>
    <xf numFmtId="206" fontId="83" fillId="0" borderId="0" xfId="3" applyNumberFormat="1" applyFont="1" applyFill="1" applyBorder="1" applyProtection="1">
      <protection locked="0"/>
    </xf>
    <xf numFmtId="172" fontId="87" fillId="0" borderId="7" xfId="0" applyNumberFormat="1" applyFont="1" applyFill="1" applyBorder="1" applyProtection="1">
      <protection locked="0"/>
    </xf>
    <xf numFmtId="206" fontId="83" fillId="0" borderId="0" xfId="3" applyNumberFormat="1" applyFont="1" applyFill="1" applyBorder="1" applyAlignment="1">
      <alignment horizontal="right"/>
    </xf>
    <xf numFmtId="206" fontId="83" fillId="0" borderId="7" xfId="3" applyNumberFormat="1" applyFont="1" applyFill="1" applyBorder="1"/>
    <xf numFmtId="171" fontId="82" fillId="0" borderId="7" xfId="23" applyNumberFormat="1" applyFont="1" applyFill="1" applyBorder="1" applyProtection="1">
      <protection locked="0"/>
    </xf>
    <xf numFmtId="171" fontId="122" fillId="8" borderId="0" xfId="23" applyNumberFormat="1" applyFont="1" applyFill="1" applyBorder="1"/>
    <xf numFmtId="171" fontId="122" fillId="8" borderId="7" xfId="23" applyNumberFormat="1" applyFont="1" applyFill="1" applyBorder="1"/>
    <xf numFmtId="275" fontId="83" fillId="0" borderId="0" xfId="0" applyNumberFormat="1" applyFont="1" applyBorder="1"/>
    <xf numFmtId="7" fontId="131" fillId="0" borderId="7" xfId="3" applyNumberFormat="1" applyFont="1" applyBorder="1"/>
    <xf numFmtId="42" fontId="82" fillId="0" borderId="0" xfId="0" applyNumberFormat="1" applyFont="1" applyBorder="1" applyAlignment="1">
      <alignment horizontal="right"/>
    </xf>
    <xf numFmtId="42" fontId="83" fillId="0" borderId="4" xfId="0" applyNumberFormat="1" applyFont="1" applyBorder="1" applyAlignment="1">
      <alignment horizontal="right"/>
    </xf>
    <xf numFmtId="9" fontId="83" fillId="0" borderId="9" xfId="23" applyFont="1" applyBorder="1" applyAlignment="1">
      <alignment horizontal="left"/>
    </xf>
    <xf numFmtId="5" fontId="82" fillId="0" borderId="7" xfId="5" applyNumberFormat="1" applyFont="1" applyBorder="1" applyAlignment="1">
      <alignment horizontal="center"/>
    </xf>
    <xf numFmtId="0" fontId="140" fillId="0" borderId="0" xfId="0" applyFont="1"/>
    <xf numFmtId="0" fontId="1" fillId="0" borderId="20" xfId="0" applyFont="1" applyBorder="1"/>
    <xf numFmtId="0" fontId="0" fillId="0" borderId="24" xfId="0" applyBorder="1"/>
    <xf numFmtId="0" fontId="0" fillId="0" borderId="21" xfId="0" applyBorder="1"/>
    <xf numFmtId="0" fontId="1" fillId="0" borderId="0" xfId="0" applyFont="1" applyBorder="1"/>
    <xf numFmtId="0" fontId="1" fillId="0" borderId="7" xfId="0" applyFont="1" applyBorder="1"/>
    <xf numFmtId="38" fontId="141" fillId="0" borderId="0" xfId="0" applyNumberFormat="1" applyFont="1" applyBorder="1"/>
    <xf numFmtId="38" fontId="0" fillId="0" borderId="7" xfId="0" applyNumberFormat="1" applyBorder="1"/>
    <xf numFmtId="0" fontId="1" fillId="0" borderId="4" xfId="0" applyFont="1" applyBorder="1"/>
    <xf numFmtId="38" fontId="1" fillId="0" borderId="4" xfId="0" applyNumberFormat="1" applyFont="1" applyBorder="1"/>
    <xf numFmtId="38" fontId="1" fillId="0" borderId="9" xfId="0" applyNumberFormat="1" applyFont="1" applyBorder="1"/>
    <xf numFmtId="203" fontId="98" fillId="14" borderId="7" xfId="5" applyNumberFormat="1" applyFont="1" applyFill="1" applyBorder="1" applyProtection="1"/>
    <xf numFmtId="206" fontId="142" fillId="14" borderId="7" xfId="3" applyNumberFormat="1" applyFont="1" applyFill="1" applyBorder="1"/>
    <xf numFmtId="206" fontId="98" fillId="14" borderId="7" xfId="3" applyNumberFormat="1" applyFont="1" applyFill="1" applyBorder="1"/>
    <xf numFmtId="206" fontId="98" fillId="14" borderId="7" xfId="3" applyNumberFormat="1" applyFont="1" applyFill="1" applyBorder="1" applyProtection="1"/>
    <xf numFmtId="206" fontId="98" fillId="8" borderId="7" xfId="3" applyNumberFormat="1" applyFont="1" applyFill="1" applyBorder="1" applyProtection="1"/>
    <xf numFmtId="206" fontId="139" fillId="15" borderId="7" xfId="3" applyNumberFormat="1" applyFont="1" applyFill="1" applyBorder="1"/>
    <xf numFmtId="41" fontId="73" fillId="0" borderId="9" xfId="6" applyNumberFormat="1" applyFont="1" applyFill="1" applyBorder="1"/>
    <xf numFmtId="43" fontId="110" fillId="0" borderId="0" xfId="0" applyNumberFormat="1" applyFont="1" applyBorder="1"/>
    <xf numFmtId="43" fontId="110" fillId="0" borderId="7" xfId="0" applyNumberFormat="1" applyFont="1" applyBorder="1"/>
    <xf numFmtId="10" fontId="99" fillId="0" borderId="0" xfId="23" applyNumberFormat="1" applyFont="1" applyFill="1" applyBorder="1"/>
    <xf numFmtId="8" fontId="121" fillId="0" borderId="0" xfId="0" applyNumberFormat="1" applyFont="1"/>
    <xf numFmtId="206" fontId="98" fillId="0" borderId="7" xfId="3" applyNumberFormat="1" applyFont="1" applyBorder="1"/>
    <xf numFmtId="206" fontId="143" fillId="0" borderId="7" xfId="3" applyNumberFormat="1" applyFont="1" applyBorder="1"/>
    <xf numFmtId="250" fontId="83" fillId="14" borderId="7" xfId="3" applyNumberFormat="1" applyFont="1" applyFill="1" applyBorder="1"/>
    <xf numFmtId="206" fontId="83" fillId="0" borderId="0" xfId="5" applyNumberFormat="1" applyFont="1" applyBorder="1" applyProtection="1"/>
    <xf numFmtId="203" fontId="123" fillId="0" borderId="0" xfId="5" applyNumberFormat="1" applyFont="1" applyFill="1" applyBorder="1"/>
    <xf numFmtId="206" fontId="89" fillId="0" borderId="7" xfId="0" applyNumberFormat="1" applyFont="1" applyBorder="1"/>
    <xf numFmtId="206" fontId="82" fillId="0" borderId="9" xfId="0" applyNumberFormat="1" applyFont="1" applyBorder="1"/>
    <xf numFmtId="0" fontId="108" fillId="0" borderId="0" xfId="0" applyFont="1" applyAlignment="1">
      <alignment horizontal="left"/>
    </xf>
    <xf numFmtId="0" fontId="130" fillId="4" borderId="0" xfId="0" applyFont="1" applyFill="1" applyAlignment="1">
      <alignment horizontal="center"/>
    </xf>
    <xf numFmtId="0" fontId="84" fillId="0" borderId="0" xfId="0" applyFont="1" applyAlignment="1">
      <alignment horizontal="center"/>
    </xf>
    <xf numFmtId="0" fontId="73" fillId="0" borderId="0" xfId="0" applyFont="1" applyAlignment="1">
      <alignment horizontal="center"/>
    </xf>
  </cellXfs>
  <cellStyles count="35">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Input [yellow]" xfId="17"/>
    <cellStyle name="no dec" xfId="18"/>
    <cellStyle name="Normal" xfId="0" builtinId="0"/>
    <cellStyle name="Normal - Style1" xfId="19"/>
    <cellStyle name="Normal_A" xfId="20"/>
    <cellStyle name="Normal_Curve_Economics" xfId="21"/>
    <cellStyle name="Normal_H" xfId="22"/>
    <cellStyle name="Percent" xfId="23" builtinId="5"/>
    <cellStyle name="Percent [2]" xfId="24"/>
    <cellStyle name="Standard_Anpassen der Amortisation" xfId="25"/>
    <cellStyle name="Total" xfId="26" builtinId="25" customBuiltin="1"/>
    <cellStyle name="uk" xfId="27"/>
    <cellStyle name="Un" xfId="28"/>
    <cellStyle name="Unprot" xfId="29"/>
    <cellStyle name="Unprot$" xfId="30"/>
    <cellStyle name="Unprot_CurrencySKorea" xfId="31"/>
    <cellStyle name="Unprotect" xfId="32"/>
    <cellStyle name="Währung [0]_Compiling Utility Macros" xfId="33"/>
    <cellStyle name="Währung_Compiling Utility Macros" xfId="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171450</xdr:colOff>
          <xdr:row>0</xdr:row>
          <xdr:rowOff>85725</xdr:rowOff>
        </xdr:from>
        <xdr:to>
          <xdr:col>0</xdr:col>
          <xdr:colOff>1533525</xdr:colOff>
          <xdr:row>3</xdr:row>
          <xdr:rowOff>9525</xdr:rowOff>
        </xdr:to>
        <xdr:sp macro="" textlink="">
          <xdr:nvSpPr>
            <xdr:cNvPr id="10745" name="Button 505" hidden="1">
              <a:extLst>
                <a:ext uri="{63B3BB69-23CF-44E3-9099-C40C66FF867C}">
                  <a14:compatExt spid="_x0000_s10745"/>
                </a:ext>
                <a:ext uri="{FF2B5EF4-FFF2-40B4-BE49-F238E27FC236}">
                  <a16:creationId xmlns:a16="http://schemas.microsoft.com/office/drawing/2014/main" id="{D8A379AC-4FD9-D8AC-A8A4-5602E6B928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1666875</xdr:colOff>
          <xdr:row>1</xdr:row>
          <xdr:rowOff>209550</xdr:rowOff>
        </xdr:from>
        <xdr:to>
          <xdr:col>0</xdr:col>
          <xdr:colOff>2286000</xdr:colOff>
          <xdr:row>3</xdr:row>
          <xdr:rowOff>9525</xdr:rowOff>
        </xdr:to>
        <xdr:sp macro="" textlink="">
          <xdr:nvSpPr>
            <xdr:cNvPr id="10767" name="Button 527" hidden="1">
              <a:extLst>
                <a:ext uri="{63B3BB69-23CF-44E3-9099-C40C66FF867C}">
                  <a14:compatExt spid="_x0000_s10767"/>
                </a:ext>
                <a:ext uri="{FF2B5EF4-FFF2-40B4-BE49-F238E27FC236}">
                  <a16:creationId xmlns:a16="http://schemas.microsoft.com/office/drawing/2014/main" id="{10307832-511D-C007-1EE8-ED84416D4E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Tax Calc.</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NAES\GenSvcs\Genco\Financing\Control\Old%20Files\Wheatland_New032199b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NAES\GenSvcs\Genco\Financing\Old%20Files\Wilton_New052099bk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NAES\GenSvcs\Genco\Financing\Old%20Files\Brownsville042199bku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ing sheet"/>
      <sheetName val="Project Assum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3">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21">
          <cell r="F21">
            <v>0.8627741228070176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40">
          <cell r="F40">
            <v>2</v>
          </cell>
          <cell r="G40">
            <v>4</v>
          </cell>
          <cell r="H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9">
          <cell r="F19">
            <v>158.32954676134838</v>
          </cell>
          <cell r="G19">
            <v>273.36457792439131</v>
          </cell>
          <cell r="H19">
            <v>272.53489951924428</v>
          </cell>
          <cell r="I19">
            <v>334.1895956336682</v>
          </cell>
          <cell r="J19">
            <v>382.78274006307782</v>
          </cell>
          <cell r="K19">
            <v>386.50416131554903</v>
          </cell>
          <cell r="L19">
            <v>390.10011992001427</v>
          </cell>
          <cell r="M19">
            <v>401.94457208753772</v>
          </cell>
          <cell r="N19">
            <v>405.50797957354246</v>
          </cell>
          <cell r="O19">
            <v>417.81466753067184</v>
          </cell>
          <cell r="P19">
            <v>421.52265605851102</v>
          </cell>
          <cell r="Q19">
            <v>434.38526430676507</v>
          </cell>
          <cell r="R19">
            <v>437.90911832952736</v>
          </cell>
          <cell r="S19">
            <v>441.24457995344858</v>
          </cell>
          <cell r="T19">
            <v>444.32903103926139</v>
          </cell>
          <cell r="U19">
            <v>447.20052885113677</v>
          </cell>
          <cell r="V19">
            <v>449.88984745147411</v>
          </cell>
          <cell r="W19">
            <v>452.51903907046903</v>
          </cell>
          <cell r="X19">
            <v>454.67478189092839</v>
          </cell>
          <cell r="Y19">
            <v>456.66446131420236</v>
          </cell>
          <cell r="Z19">
            <v>457.60332749261863</v>
          </cell>
        </row>
        <row r="32">
          <cell r="F32">
            <v>94.897140327424509</v>
          </cell>
          <cell r="G32">
            <v>162.68081198987059</v>
          </cell>
          <cell r="H32">
            <v>162.68081198987059</v>
          </cell>
          <cell r="I32">
            <v>162.68081198987059</v>
          </cell>
          <cell r="J32">
            <v>154.10923546130201</v>
          </cell>
          <cell r="K32">
            <v>154.10923546130201</v>
          </cell>
          <cell r="L32">
            <v>154.10923546130201</v>
          </cell>
          <cell r="M32">
            <v>154.10923546130201</v>
          </cell>
          <cell r="N32">
            <v>154.10923546130201</v>
          </cell>
          <cell r="O32">
            <v>154.10923546130201</v>
          </cell>
          <cell r="P32">
            <v>138.55454636091247</v>
          </cell>
          <cell r="Q32">
            <v>132.04950596184318</v>
          </cell>
          <cell r="R32">
            <v>125.69432794771673</v>
          </cell>
          <cell r="S32">
            <v>119.34836862794066</v>
          </cell>
          <cell r="T32">
            <v>116.86935092169313</v>
          </cell>
          <cell r="U32">
            <v>114.00541773564787</v>
          </cell>
          <cell r="V32">
            <v>107.0295240719369</v>
          </cell>
          <cell r="W32">
            <v>84.852143368280565</v>
          </cell>
          <cell r="X32">
            <v>79.150969632330188</v>
          </cell>
          <cell r="Y32">
            <v>63.881846787253153</v>
          </cell>
          <cell r="Z32">
            <v>63.881846787253153</v>
          </cell>
        </row>
        <row r="39">
          <cell r="F39">
            <v>12824.693287669219</v>
          </cell>
          <cell r="G39">
            <v>22142.530811875698</v>
          </cell>
          <cell r="H39">
            <v>22075.326861058784</v>
          </cell>
          <cell r="I39">
            <v>27069.357246327123</v>
          </cell>
          <cell r="J39">
            <v>31005.401945109301</v>
          </cell>
          <cell r="K39">
            <v>31306.83706655947</v>
          </cell>
          <cell r="L39">
            <v>31598.109713521149</v>
          </cell>
          <cell r="M39">
            <v>32557.510339090553</v>
          </cell>
          <cell r="N39">
            <v>32846.146345456938</v>
          </cell>
          <cell r="O39">
            <v>33842.988069984414</v>
          </cell>
          <cell r="P39">
            <v>34143.335140739393</v>
          </cell>
          <cell r="Q39">
            <v>35185.206408847967</v>
          </cell>
          <cell r="R39">
            <v>35470.638584691711</v>
          </cell>
          <cell r="S39">
            <v>35740.810976229332</v>
          </cell>
          <cell r="T39">
            <v>35990.651514180172</v>
          </cell>
          <cell r="U39">
            <v>36223.242836942081</v>
          </cell>
          <cell r="V39">
            <v>36441.077643569399</v>
          </cell>
          <cell r="W39">
            <v>36654.042164707986</v>
          </cell>
          <cell r="X39">
            <v>36828.657333165196</v>
          </cell>
          <cell r="Y39">
            <v>36989.821366450393</v>
          </cell>
          <cell r="Z39">
            <v>37065.869526902105</v>
          </cell>
        </row>
      </sheetData>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U725"/>
  <sheetViews>
    <sheetView topLeftCell="A696" zoomScale="95" zoomScaleNormal="95" zoomScaleSheetLayoutView="85" workbookViewId="0">
      <selection activeCell="D725" sqref="D725:X725"/>
    </sheetView>
  </sheetViews>
  <sheetFormatPr defaultColWidth="9.28515625" defaultRowHeight="11.25" outlineLevelRow="1"/>
  <cols>
    <col min="1" max="1" width="37.5703125" style="205" customWidth="1"/>
    <col min="2" max="2" width="10.28515625" style="211" customWidth="1"/>
    <col min="3" max="3" width="10.140625" style="205" customWidth="1"/>
    <col min="4" max="4" width="10.28515625" style="315" customWidth="1"/>
    <col min="5" max="5" width="12.85546875" style="205" bestFit="1" customWidth="1"/>
    <col min="6" max="6" width="10.28515625" style="205" bestFit="1" customWidth="1"/>
    <col min="7" max="7" width="10.42578125" style="205" customWidth="1"/>
    <col min="8" max="19" width="10.28515625" style="205" bestFit="1" customWidth="1"/>
    <col min="20" max="29" width="9.28515625" style="205" bestFit="1" customWidth="1"/>
    <col min="30" max="255" width="9.28515625" style="8" bestFit="1" customWidth="1"/>
    <col min="256" max="16384" width="9.28515625" style="8"/>
  </cols>
  <sheetData>
    <row r="1" spans="1:27" ht="20.25">
      <c r="A1" s="399" t="str">
        <f>'PPA Assumptions &amp;Summary'!A1</f>
        <v>GLEASON, TN</v>
      </c>
    </row>
    <row r="2" spans="1:27" ht="19.5">
      <c r="A2" s="306" t="s">
        <v>307</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row>
    <row r="3" spans="1:27" ht="31.5">
      <c r="A3" s="307" t="s">
        <v>308</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row>
    <row r="4" spans="1:27" ht="12.75">
      <c r="A4" s="307"/>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row>
    <row r="5" spans="1:27" ht="12.75">
      <c r="A5" s="398" t="s">
        <v>471</v>
      </c>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row>
    <row r="6" spans="1:27" ht="12.75">
      <c r="A6" s="308" t="s">
        <v>416</v>
      </c>
      <c r="B6" s="309">
        <f>'Project Assumptions'!I67</f>
        <v>38525.113012615373</v>
      </c>
      <c r="C6" s="247"/>
      <c r="D6" s="247"/>
      <c r="E6" s="247"/>
      <c r="F6" s="247"/>
      <c r="G6" s="247"/>
      <c r="H6" s="247"/>
      <c r="I6" s="247"/>
      <c r="J6" s="247"/>
      <c r="K6" s="247"/>
      <c r="L6" s="247"/>
      <c r="M6" s="247"/>
      <c r="N6" s="247"/>
      <c r="O6" s="247"/>
      <c r="P6" s="247"/>
      <c r="Q6" s="247"/>
      <c r="R6" s="247"/>
      <c r="S6" s="247"/>
      <c r="T6" s="247"/>
      <c r="U6" s="247"/>
      <c r="V6" s="247"/>
      <c r="W6" s="247"/>
      <c r="X6" s="247"/>
      <c r="Y6" s="247"/>
      <c r="Z6" s="247"/>
      <c r="AA6" s="247"/>
    </row>
    <row r="7" spans="1:27" ht="12.75">
      <c r="A7" s="310" t="s">
        <v>417</v>
      </c>
      <c r="B7" s="311">
        <f>'Project Assumptions'!G67</f>
        <v>71958.046729100126</v>
      </c>
      <c r="C7" s="247"/>
      <c r="D7" s="247"/>
      <c r="E7" s="247"/>
      <c r="F7" s="247"/>
      <c r="G7" s="247"/>
      <c r="H7" s="247"/>
      <c r="I7" s="247"/>
      <c r="J7" s="247"/>
      <c r="K7" s="247"/>
      <c r="L7" s="247"/>
      <c r="M7" s="247"/>
      <c r="N7" s="247"/>
      <c r="O7" s="247"/>
      <c r="P7" s="247"/>
      <c r="Q7" s="247"/>
      <c r="R7" s="247"/>
      <c r="S7" s="247"/>
      <c r="T7" s="247"/>
      <c r="U7" s="247"/>
      <c r="V7" s="247"/>
      <c r="W7" s="247"/>
      <c r="X7" s="247"/>
      <c r="Y7" s="247"/>
      <c r="Z7" s="247"/>
      <c r="AA7" s="247"/>
    </row>
    <row r="8" spans="1:27" ht="12.75">
      <c r="A8" s="312" t="s">
        <v>418</v>
      </c>
      <c r="B8" s="387" t="s">
        <v>469</v>
      </c>
      <c r="C8" s="387" t="s">
        <v>470</v>
      </c>
      <c r="D8" s="389">
        <f>'PPA Assumptions &amp;Summary'!C4</f>
        <v>2000</v>
      </c>
      <c r="E8" s="390">
        <f>'PPA Assumptions &amp;Summary'!D4</f>
        <v>2001</v>
      </c>
      <c r="F8" s="390">
        <f>'PPA Assumptions &amp;Summary'!E4</f>
        <v>2002</v>
      </c>
      <c r="G8" s="390">
        <f>'PPA Assumptions &amp;Summary'!F4</f>
        <v>2003</v>
      </c>
      <c r="H8" s="390">
        <f>'PPA Assumptions &amp;Summary'!G4</f>
        <v>2004</v>
      </c>
      <c r="I8" s="390">
        <f>'PPA Assumptions &amp;Summary'!H4</f>
        <v>2005</v>
      </c>
      <c r="J8" s="390">
        <f>'PPA Assumptions &amp;Summary'!I4</f>
        <v>2006</v>
      </c>
      <c r="K8" s="390">
        <f>'PPA Assumptions &amp;Summary'!J4</f>
        <v>2007</v>
      </c>
      <c r="L8" s="390">
        <f>'PPA Assumptions &amp;Summary'!K4</f>
        <v>2008</v>
      </c>
      <c r="M8" s="390">
        <f>'PPA Assumptions &amp;Summary'!L4</f>
        <v>2009</v>
      </c>
      <c r="N8" s="391">
        <f>'PPA Assumptions &amp;Summary'!M4</f>
        <v>2010</v>
      </c>
      <c r="O8" s="248">
        <f>'PPA Assumptions &amp;Summary'!N4</f>
        <v>2011</v>
      </c>
      <c r="P8" s="248">
        <f>'PPA Assumptions &amp;Summary'!O4</f>
        <v>2012</v>
      </c>
      <c r="Q8" s="248">
        <f>'PPA Assumptions &amp;Summary'!P4</f>
        <v>2013</v>
      </c>
      <c r="R8" s="248">
        <f>'PPA Assumptions &amp;Summary'!Q4</f>
        <v>2014</v>
      </c>
      <c r="S8" s="248">
        <f>'PPA Assumptions &amp;Summary'!R4</f>
        <v>2015</v>
      </c>
      <c r="T8" s="248">
        <f>'PPA Assumptions &amp;Summary'!S4</f>
        <v>2016</v>
      </c>
      <c r="U8" s="248">
        <f>'PPA Assumptions &amp;Summary'!T4</f>
        <v>2017</v>
      </c>
      <c r="V8" s="248">
        <f>'PPA Assumptions &amp;Summary'!U4</f>
        <v>2018</v>
      </c>
      <c r="W8" s="248">
        <f>'PPA Assumptions &amp;Summary'!V4</f>
        <v>2019</v>
      </c>
      <c r="X8" s="248">
        <f>'PPA Assumptions &amp;Summary'!W4</f>
        <v>2020</v>
      </c>
      <c r="Y8"/>
      <c r="Z8" s="247"/>
      <c r="AA8" s="247"/>
    </row>
    <row r="9" spans="1:27" ht="12.75">
      <c r="A9" s="312" t="s">
        <v>419</v>
      </c>
      <c r="B9" s="388">
        <f>NPV(0.1,D9:Y9)</f>
        <v>452746.04522128857</v>
      </c>
      <c r="C9" s="388">
        <v>0</v>
      </c>
      <c r="D9" s="392">
        <f>'Book Income Statement'!D17</f>
        <v>34109.700766946342</v>
      </c>
      <c r="E9" s="393">
        <f>'Book Income Statement'!E17</f>
        <v>44409.687929227432</v>
      </c>
      <c r="F9" s="393">
        <f>'Book Income Statement'!F17</f>
        <v>44506.771127474982</v>
      </c>
      <c r="G9" s="393">
        <f>'Book Income Statement'!G17</f>
        <v>50218.30886229824</v>
      </c>
      <c r="H9" s="393">
        <f>'Book Income Statement'!H17</f>
        <v>54574.673522346537</v>
      </c>
      <c r="I9" s="393">
        <f>'Book Income Statement'!I17</f>
        <v>55063.697327630136</v>
      </c>
      <c r="J9" s="393">
        <f>'Book Income Statement'!J17</f>
        <v>55548.558715276522</v>
      </c>
      <c r="K9" s="393">
        <f>'Book Income Statement'!K17</f>
        <v>56699.530399946743</v>
      </c>
      <c r="L9" s="393">
        <f>'Book Income Statement'!L17</f>
        <v>57194.12097543355</v>
      </c>
      <c r="M9" s="393">
        <f>'Book Income Statement'!M17</f>
        <v>58394.459527908475</v>
      </c>
      <c r="N9" s="394">
        <f>'Book Income Statement'!N17</f>
        <v>58897.821542416961</v>
      </c>
      <c r="O9" s="252">
        <f>'Book Income Statement'!O17</f>
        <v>60149.271111901398</v>
      </c>
      <c r="P9" s="252">
        <f>'Book Income Statement'!P17</f>
        <v>60660.638584232147</v>
      </c>
      <c r="Q9" s="252">
        <f>'Book Income Statement'!Q17</f>
        <v>61164.018313205663</v>
      </c>
      <c r="R9" s="252">
        <f>'Book Income Statement'!R17</f>
        <v>61658.470803495424</v>
      </c>
      <c r="S9" s="252">
        <f>'Book Income Statement'!S17</f>
        <v>62143.007379024326</v>
      </c>
      <c r="T9" s="252">
        <f>'Book Income Statement'!T17</f>
        <v>62616.588077665459</v>
      </c>
      <c r="U9" s="252">
        <f>'Book Income Statement'!U17</f>
        <v>63078.11946388759</v>
      </c>
      <c r="V9" s="252">
        <f>'Book Income Statement'!V17</f>
        <v>63526.452356316782</v>
      </c>
      <c r="W9" s="252">
        <f>'Book Income Statement'!W17</f>
        <v>63960.379467077859</v>
      </c>
      <c r="X9" s="252">
        <f>'Book Income Statement'!X17</f>
        <v>38508.425390341457</v>
      </c>
      <c r="Y9"/>
      <c r="Z9" s="247"/>
      <c r="AA9" s="247"/>
    </row>
    <row r="10" spans="1:27" ht="12.75" outlineLevel="1">
      <c r="A10" s="313" t="s">
        <v>420</v>
      </c>
      <c r="B10" s="388">
        <f>NPV(0.1,D10:Y10)</f>
        <v>208125.5929334996</v>
      </c>
      <c r="C10" s="388">
        <v>0</v>
      </c>
      <c r="D10" s="392">
        <f>'Book Income Statement'!D60</f>
        <v>21358.369035191048</v>
      </c>
      <c r="E10" s="393">
        <f>'Book Income Statement'!E60</f>
        <v>22387.77003276625</v>
      </c>
      <c r="F10" s="393">
        <f>'Book Income Statement'!F60</f>
        <v>22551.227503425569</v>
      </c>
      <c r="G10" s="393">
        <f>'Book Income Statement'!G60</f>
        <v>23357.218506205747</v>
      </c>
      <c r="H10" s="393">
        <f>'Book Income Statement'!H60</f>
        <v>23849.843185960413</v>
      </c>
      <c r="I10" s="393">
        <f>'Book Income Statement'!I60</f>
        <v>24042.412359685557</v>
      </c>
      <c r="J10" s="393">
        <f>'Book Income Statement'!J60</f>
        <v>24240.893899673152</v>
      </c>
      <c r="K10" s="393">
        <f>'Book Income Statement'!K60</f>
        <v>24445.645156860875</v>
      </c>
      <c r="L10" s="393">
        <f>'Book Income Statement'!L60</f>
        <v>24656.538951764236</v>
      </c>
      <c r="M10" s="393">
        <f>'Book Income Statement'!M60</f>
        <v>24873.759560514693</v>
      </c>
      <c r="N10" s="394">
        <f>'Book Income Statement'!N60</f>
        <v>25097.496787527663</v>
      </c>
      <c r="O10" s="252">
        <f>'Book Income Statement'!O60</f>
        <v>25327.946131351018</v>
      </c>
      <c r="P10" s="252">
        <f>'Book Income Statement'!P60</f>
        <v>25565.308955489079</v>
      </c>
      <c r="Q10" s="252">
        <f>'Book Income Statement'!Q60</f>
        <v>25809.79266435128</v>
      </c>
      <c r="R10" s="252">
        <f>'Book Income Statement'!R60</f>
        <v>26061.610884479356</v>
      </c>
      <c r="S10" s="252">
        <f>'Book Income Statement'!S60</f>
        <v>26320.983651211263</v>
      </c>
      <c r="T10" s="252">
        <f>'Book Income Statement'!T60</f>
        <v>26588.137600945131</v>
      </c>
      <c r="U10" s="252">
        <f>'Book Income Statement'!U60</f>
        <v>26863.306169171017</v>
      </c>
      <c r="V10" s="252">
        <f>'Book Income Statement'!V60</f>
        <v>27146.72979444368</v>
      </c>
      <c r="W10" s="252">
        <f>'Book Income Statement'!W60</f>
        <v>27438.656128474518</v>
      </c>
      <c r="X10" s="252">
        <f>'Book Income Statement'!X60</f>
        <v>25122.640506368269</v>
      </c>
      <c r="Y10"/>
      <c r="Z10" s="247"/>
      <c r="AA10" s="247"/>
    </row>
    <row r="11" spans="1:27" ht="12.75" outlineLevel="1">
      <c r="A11" s="313" t="s">
        <v>35</v>
      </c>
      <c r="B11" s="388">
        <f>NPV(0.1,D11:Y11)</f>
        <v>85095.597903205169</v>
      </c>
      <c r="C11" s="388">
        <v>0</v>
      </c>
      <c r="D11" s="392">
        <f>'Book Income Statement'!D75</f>
        <v>-305.74987274590649</v>
      </c>
      <c r="E11" s="393">
        <f>'Book Income Statement'!E75</f>
        <v>4132.2463145385282</v>
      </c>
      <c r="F11" s="393">
        <f>'Book Income Statement'!F75</f>
        <v>4301.9667396559471</v>
      </c>
      <c r="G11" s="393">
        <f>'Book Income Statement'!G75</f>
        <v>7562.4408831940809</v>
      </c>
      <c r="H11" s="393">
        <f>'Book Income Statement'!H75</f>
        <v>10282.401393414013</v>
      </c>
      <c r="I11" s="393">
        <f>'Book Income Statement'!I75</f>
        <v>10849.409638693825</v>
      </c>
      <c r="J11" s="393">
        <f>'Book Income Statement'!J75</f>
        <v>11369.769221530703</v>
      </c>
      <c r="K11" s="393">
        <f>'Book Income Statement'!K75</f>
        <v>12221.597854806312</v>
      </c>
      <c r="L11" s="393">
        <f>'Book Income Statement'!L75</f>
        <v>12673.375041413501</v>
      </c>
      <c r="M11" s="393">
        <f>'Book Income Statement'!M75</f>
        <v>13724.603914443138</v>
      </c>
      <c r="N11" s="394">
        <f>'Book Income Statement'!N75</f>
        <v>14474.053688211583</v>
      </c>
      <c r="O11" s="252">
        <f>'Book Income Statement'!O75</f>
        <v>15228.366900997436</v>
      </c>
      <c r="P11" s="252">
        <f>'Book Income Statement'!P75</f>
        <v>15566.072749073544</v>
      </c>
      <c r="Q11" s="252">
        <f>'Book Income Statement'!Q75</f>
        <v>15894.655558976714</v>
      </c>
      <c r="R11" s="252">
        <f>'Book Income Statement'!R75</f>
        <v>16213.419041489604</v>
      </c>
      <c r="S11" s="252">
        <f>'Book Income Statement'!S75</f>
        <v>16521.63334077617</v>
      </c>
      <c r="T11" s="252">
        <f>'Book Income Statement'!T75</f>
        <v>16818.533647044853</v>
      </c>
      <c r="U11" s="252">
        <f>'Book Income Statement'!U75</f>
        <v>17275.572463165874</v>
      </c>
      <c r="V11" s="252">
        <f>'Book Income Statement'!V75</f>
        <v>17788.558471181335</v>
      </c>
      <c r="W11" s="252">
        <f>'Book Income Statement'!W75</f>
        <v>18391.063876772212</v>
      </c>
      <c r="X11" s="252">
        <f>'Book Income Statement'!X75</f>
        <v>5006.5599934405036</v>
      </c>
      <c r="Y11"/>
      <c r="Z11" s="247"/>
      <c r="AA11" s="247"/>
    </row>
    <row r="12" spans="1:27" ht="12.75" outlineLevel="1">
      <c r="A12" s="313" t="s">
        <v>32</v>
      </c>
      <c r="B12" s="388">
        <f>NPV(0.1,D12:Y12)</f>
        <v>92885.776479639477</v>
      </c>
      <c r="C12" s="388">
        <v>0</v>
      </c>
      <c r="D12" s="395">
        <f>'Cash Flow Statement'!D22</f>
        <v>-2251.1902156847636</v>
      </c>
      <c r="E12" s="396">
        <f>'Cash Flow Statement'!E22</f>
        <v>7264.0896239149524</v>
      </c>
      <c r="F12" s="396">
        <f>'Cash Flow Statement'!F22</f>
        <v>5587.0181749130334</v>
      </c>
      <c r="G12" s="396">
        <f>'Cash Flow Statement'!G22</f>
        <v>9092.514268850904</v>
      </c>
      <c r="H12" s="396">
        <f>'Cash Flow Statement'!H22</f>
        <v>16500.361346345664</v>
      </c>
      <c r="I12" s="396">
        <f>'Cash Flow Statement'!I22</f>
        <v>13083.431661103243</v>
      </c>
      <c r="J12" s="396">
        <f>'Cash Flow Statement'!J22</f>
        <v>12498.531090505829</v>
      </c>
      <c r="K12" s="396">
        <f>'Cash Flow Statement'!K22</f>
        <v>13357.299545514799</v>
      </c>
      <c r="L12" s="396">
        <f>'Cash Flow Statement'!L22</f>
        <v>9878.8205053886268</v>
      </c>
      <c r="M12" s="396">
        <f>'Cash Flow Statement'!M22</f>
        <v>8269.1340447516268</v>
      </c>
      <c r="N12" s="397">
        <f>'Cash Flow Statement'!N22</f>
        <v>18819.93500928671</v>
      </c>
      <c r="O12" s="252">
        <f>'Cash Flow Statement'!O22</f>
        <v>18874.991090905925</v>
      </c>
      <c r="P12" s="252">
        <f>'Cash Flow Statement'!P22</f>
        <v>19205.757117248671</v>
      </c>
      <c r="Q12" s="252">
        <f>'Cash Flow Statement'!Q22</f>
        <v>19541.279748885194</v>
      </c>
      <c r="R12" s="252">
        <f>'Cash Flow Statement'!R22</f>
        <v>19853.103409664731</v>
      </c>
      <c r="S12" s="252">
        <f>'Cash Flow Statement'!S22</f>
        <v>18114.070297609367</v>
      </c>
      <c r="T12" s="252">
        <f>'Cash Flow Statement'!T22</f>
        <v>12832.738428036106</v>
      </c>
      <c r="U12" s="252">
        <f>'Cash Flow Statement'!U22</f>
        <v>11877.383338357127</v>
      </c>
      <c r="V12" s="252">
        <f>'Cash Flow Statement'!V22</f>
        <v>10271.778487672589</v>
      </c>
      <c r="W12" s="252">
        <f>'Cash Flow Statement'!W22</f>
        <v>9461.8899874634699</v>
      </c>
      <c r="X12" s="252">
        <f>'Cash Flow Statement'!X22</f>
        <v>8082.7343034317537</v>
      </c>
      <c r="Y12"/>
      <c r="Z12" s="247"/>
      <c r="AA12" s="247"/>
    </row>
    <row r="13" spans="1:27" ht="12.75" outlineLevel="1">
      <c r="A13" s="292"/>
      <c r="B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row>
    <row r="14" spans="1:27" ht="12.75" outlineLevel="1">
      <c r="A14" s="292" t="s">
        <v>421</v>
      </c>
      <c r="B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row>
    <row r="15" spans="1:27" ht="12.75" outlineLevel="1">
      <c r="A15" s="247"/>
      <c r="B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row>
    <row r="16" spans="1:27" ht="12.75" outlineLevel="1">
      <c r="A16" s="308" t="s">
        <v>416</v>
      </c>
      <c r="B16" s="309">
        <v>61476.090062022769</v>
      </c>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row>
    <row r="17" spans="1:255" ht="12.75" outlineLevel="1">
      <c r="A17" s="310" t="s">
        <v>417</v>
      </c>
      <c r="B17" s="311">
        <v>97134.680507361103</v>
      </c>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row>
    <row r="18" spans="1:255" ht="12.75" outlineLevel="1">
      <c r="A18" s="312" t="s">
        <v>418</v>
      </c>
      <c r="B18" s="387" t="s">
        <v>469</v>
      </c>
      <c r="C18" s="387" t="s">
        <v>470</v>
      </c>
      <c r="D18" s="389">
        <v>2000</v>
      </c>
      <c r="E18" s="390">
        <v>2001</v>
      </c>
      <c r="F18" s="390">
        <v>2002</v>
      </c>
      <c r="G18" s="390">
        <v>2003</v>
      </c>
      <c r="H18" s="390">
        <v>2004</v>
      </c>
      <c r="I18" s="390">
        <v>2005</v>
      </c>
      <c r="J18" s="390">
        <v>2006</v>
      </c>
      <c r="K18" s="390">
        <v>2007</v>
      </c>
      <c r="L18" s="390">
        <v>2008</v>
      </c>
      <c r="M18" s="390">
        <v>2009</v>
      </c>
      <c r="N18" s="391">
        <v>2010</v>
      </c>
      <c r="O18" s="248">
        <v>2011</v>
      </c>
      <c r="P18" s="248">
        <v>2012</v>
      </c>
      <c r="Q18" s="248">
        <v>2013</v>
      </c>
      <c r="R18" s="248">
        <v>2014</v>
      </c>
      <c r="S18" s="248">
        <v>2015</v>
      </c>
      <c r="T18" s="248">
        <v>2016</v>
      </c>
      <c r="U18" s="248">
        <v>2017</v>
      </c>
      <c r="V18" s="248">
        <v>2018</v>
      </c>
      <c r="W18" s="248">
        <v>2019</v>
      </c>
      <c r="X18" s="248">
        <v>2020</v>
      </c>
      <c r="Y18" s="247"/>
      <c r="Z18" s="247"/>
      <c r="AA18" s="247"/>
    </row>
    <row r="19" spans="1:255" ht="12.75" outlineLevel="1">
      <c r="A19" s="312" t="s">
        <v>419</v>
      </c>
      <c r="B19" s="388">
        <f>NPV(0.1,D19:Y19)</f>
        <v>443187.96866823034</v>
      </c>
      <c r="C19" s="388">
        <f>B19-B9</f>
        <v>-9558.0765530582285</v>
      </c>
      <c r="D19" s="392">
        <v>25479.00927685</v>
      </c>
      <c r="E19" s="393">
        <v>35836.452357100003</v>
      </c>
      <c r="F19" s="393">
        <v>36106.358264200004</v>
      </c>
      <c r="G19" s="393">
        <v>46038.715125413328</v>
      </c>
      <c r="H19" s="393">
        <v>54237.14545579195</v>
      </c>
      <c r="I19" s="393">
        <v>55582.548139468119</v>
      </c>
      <c r="J19" s="393">
        <v>56503.89945327898</v>
      </c>
      <c r="K19" s="393">
        <v>57522.212128319617</v>
      </c>
      <c r="L19" s="393">
        <v>58635.136538480037</v>
      </c>
      <c r="M19" s="393">
        <v>59846.433222957676</v>
      </c>
      <c r="N19" s="394">
        <v>61182.17899626297</v>
      </c>
      <c r="O19" s="252">
        <v>62799.531258422168</v>
      </c>
      <c r="P19" s="252">
        <v>64553.153259102895</v>
      </c>
      <c r="Q19" s="252">
        <v>66381.092948161619</v>
      </c>
      <c r="R19" s="252">
        <v>68277.25672233435</v>
      </c>
      <c r="S19" s="252">
        <v>70210.369225652757</v>
      </c>
      <c r="T19" s="252">
        <v>71845.941800783767</v>
      </c>
      <c r="U19" s="252">
        <v>73650.176781022601</v>
      </c>
      <c r="V19" s="252">
        <v>75220.77417869847</v>
      </c>
      <c r="W19" s="252">
        <v>76786.343495901499</v>
      </c>
      <c r="X19" s="252">
        <v>19108.264600727776</v>
      </c>
      <c r="Y19" s="247"/>
      <c r="Z19" s="247"/>
      <c r="AA19" s="247"/>
    </row>
    <row r="20" spans="1:255" ht="12.75" outlineLevel="1">
      <c r="A20" s="313" t="s">
        <v>420</v>
      </c>
      <c r="B20" s="388">
        <f>NPV(0.1,D20:Y20)</f>
        <v>193235.09649496712</v>
      </c>
      <c r="C20" s="388">
        <f>B20-B10</f>
        <v>-14890.496438532486</v>
      </c>
      <c r="D20" s="392">
        <v>15892.28037685</v>
      </c>
      <c r="E20" s="393">
        <v>19358.282057099997</v>
      </c>
      <c r="F20" s="393">
        <v>19732.5486972</v>
      </c>
      <c r="G20" s="393">
        <v>20044.040936699999</v>
      </c>
      <c r="H20" s="393">
        <v>20420.856195512999</v>
      </c>
      <c r="I20" s="393">
        <v>20870.934269028392</v>
      </c>
      <c r="J20" s="393">
        <v>21389.922870811242</v>
      </c>
      <c r="K20" s="393">
        <v>22013.154348325581</v>
      </c>
      <c r="L20" s="393">
        <v>22739.078092772343</v>
      </c>
      <c r="M20" s="393">
        <v>23572.29504833552</v>
      </c>
      <c r="N20" s="394">
        <v>24539.765586332585</v>
      </c>
      <c r="O20" s="252">
        <v>25650.010776168565</v>
      </c>
      <c r="P20" s="252">
        <v>26899.260276995621</v>
      </c>
      <c r="Q20" s="252">
        <v>28226.182509383481</v>
      </c>
      <c r="R20" s="252">
        <v>29625.339107908996</v>
      </c>
      <c r="S20" s="252">
        <v>31066.146249176258</v>
      </c>
      <c r="T20" s="252">
        <v>32561.618048182547</v>
      </c>
      <c r="U20" s="252">
        <v>34252.758831148021</v>
      </c>
      <c r="V20" s="252">
        <v>35739.015095831463</v>
      </c>
      <c r="W20" s="252">
        <v>37250.823312957407</v>
      </c>
      <c r="X20" s="252">
        <v>0</v>
      </c>
      <c r="Y20" s="247"/>
      <c r="Z20" s="247"/>
      <c r="AA20" s="247"/>
      <c r="AB20" s="272"/>
      <c r="AC20" s="272"/>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row>
    <row r="21" spans="1:255" ht="12.75" outlineLevel="1">
      <c r="A21" s="313" t="s">
        <v>35</v>
      </c>
      <c r="B21" s="388">
        <f>NPV(0.1,D21:Y21)</f>
        <v>78388.908249170854</v>
      </c>
      <c r="C21" s="388">
        <f>B21-B11</f>
        <v>-6706.689654034315</v>
      </c>
      <c r="D21" s="392">
        <v>-49.842402463066165</v>
      </c>
      <c r="E21" s="393">
        <v>4.6795520134199968</v>
      </c>
      <c r="F21" s="393">
        <v>48.263895916013702</v>
      </c>
      <c r="G21" s="393">
        <v>5859.9809806003996</v>
      </c>
      <c r="H21" s="393">
        <v>10540.516111262328</v>
      </c>
      <c r="I21" s="393">
        <v>11463.241652087581</v>
      </c>
      <c r="J21" s="393">
        <v>12057.816825650523</v>
      </c>
      <c r="K21" s="393">
        <v>12450.420379638093</v>
      </c>
      <c r="L21" s="393">
        <v>12923.155040508047</v>
      </c>
      <c r="M21" s="393">
        <v>13416.467523352196</v>
      </c>
      <c r="N21" s="394">
        <v>13931.707220089829</v>
      </c>
      <c r="O21" s="252">
        <v>14491.089417172101</v>
      </c>
      <c r="P21" s="252">
        <v>15152.065783969341</v>
      </c>
      <c r="Q21" s="252">
        <v>15848.533048481926</v>
      </c>
      <c r="R21" s="252">
        <v>16583.007311108813</v>
      </c>
      <c r="S21" s="252">
        <v>17281.176318848342</v>
      </c>
      <c r="T21" s="252">
        <v>17893.211973080884</v>
      </c>
      <c r="U21" s="252">
        <v>18533.026720787784</v>
      </c>
      <c r="V21" s="252">
        <v>19202.542403957596</v>
      </c>
      <c r="W21" s="252">
        <v>19647.056705485593</v>
      </c>
      <c r="X21" s="252">
        <v>0</v>
      </c>
      <c r="Y21" s="247"/>
      <c r="Z21" s="247"/>
      <c r="AA21" s="247"/>
      <c r="AB21" s="272"/>
      <c r="AC21" s="272"/>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row>
    <row r="22" spans="1:255" ht="12.75" outlineLevel="1">
      <c r="A22" s="313" t="s">
        <v>32</v>
      </c>
      <c r="B22" s="388">
        <f>NPV(0.1,D22:Y22)</f>
        <v>96968.852354102404</v>
      </c>
      <c r="C22" s="388">
        <f>B22-B12</f>
        <v>4083.0758744629275</v>
      </c>
      <c r="D22" s="395">
        <v>2589.4158654279913</v>
      </c>
      <c r="E22" s="396">
        <v>4123.8352663750493</v>
      </c>
      <c r="F22" s="396">
        <v>4123.4128173460695</v>
      </c>
      <c r="G22" s="396">
        <v>15906.374235533533</v>
      </c>
      <c r="H22" s="396">
        <v>20624.445018061077</v>
      </c>
      <c r="I22" s="396">
        <v>15578.146512399308</v>
      </c>
      <c r="J22" s="396">
        <v>14526.106703135585</v>
      </c>
      <c r="K22" s="396">
        <v>14436.402303167632</v>
      </c>
      <c r="L22" s="396">
        <v>14378.324498167876</v>
      </c>
      <c r="M22" s="396">
        <v>14313.887719354119</v>
      </c>
      <c r="N22" s="397">
        <v>14217.527922620899</v>
      </c>
      <c r="O22" s="252">
        <v>14072.809758710368</v>
      </c>
      <c r="P22" s="252">
        <v>13961.299476300394</v>
      </c>
      <c r="Q22" s="252">
        <v>13836.783003704017</v>
      </c>
      <c r="R22" s="252">
        <v>13673.046854339884</v>
      </c>
      <c r="S22" s="252">
        <v>10294.109337912907</v>
      </c>
      <c r="T22" s="252">
        <v>9560.484092434268</v>
      </c>
      <c r="U22" s="252">
        <v>9239.6300917020526</v>
      </c>
      <c r="V22" s="252">
        <v>8882.5286214894422</v>
      </c>
      <c r="W22" s="252">
        <v>14567.690087442323</v>
      </c>
      <c r="X22" s="252">
        <v>0</v>
      </c>
      <c r="Y22" s="247"/>
      <c r="Z22" s="247"/>
      <c r="AA22" s="247"/>
      <c r="AB22" s="272"/>
      <c r="AC22" s="272"/>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row>
    <row r="23" spans="1:255" ht="12.75" outlineLevel="1">
      <c r="A23" s="313"/>
      <c r="B23" s="247"/>
      <c r="D23" s="252"/>
      <c r="E23" s="252"/>
      <c r="F23" s="252"/>
      <c r="G23" s="252"/>
      <c r="H23" s="252"/>
      <c r="I23" s="252"/>
      <c r="J23" s="252"/>
      <c r="K23" s="252"/>
      <c r="L23" s="252"/>
      <c r="M23" s="252"/>
      <c r="N23" s="252"/>
      <c r="O23" s="252"/>
      <c r="P23" s="252"/>
      <c r="Q23" s="252"/>
      <c r="R23" s="252"/>
      <c r="S23" s="252"/>
      <c r="T23" s="252"/>
      <c r="U23" s="252"/>
      <c r="V23" s="252"/>
      <c r="W23" s="252"/>
      <c r="X23" s="252"/>
      <c r="Y23" s="247"/>
      <c r="Z23" s="247"/>
      <c r="AA23" s="247"/>
      <c r="AB23" s="272"/>
      <c r="AC23" s="272"/>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row>
    <row r="24" spans="1:255" ht="12.75" outlineLevel="1">
      <c r="A24" s="292" t="s">
        <v>430</v>
      </c>
      <c r="B24" s="247"/>
      <c r="D24" s="252"/>
      <c r="E24" s="252"/>
      <c r="F24" s="252"/>
      <c r="G24" s="252"/>
      <c r="H24" s="252"/>
      <c r="I24" s="252"/>
      <c r="J24" s="252"/>
      <c r="K24" s="252"/>
      <c r="L24" s="252"/>
      <c r="M24" s="252"/>
      <c r="N24" s="252"/>
      <c r="O24" s="252"/>
      <c r="P24" s="252"/>
      <c r="Q24" s="252"/>
      <c r="R24" s="252"/>
      <c r="S24" s="252"/>
      <c r="T24" s="252"/>
      <c r="U24" s="252"/>
      <c r="V24" s="252"/>
      <c r="W24" s="252"/>
      <c r="X24" s="252"/>
      <c r="Y24" s="247"/>
      <c r="Z24" s="247"/>
      <c r="AA24" s="247"/>
      <c r="AB24" s="272"/>
      <c r="AC24" s="272"/>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row>
    <row r="25" spans="1:255" s="17" customFormat="1" ht="12.75" outlineLevel="1">
      <c r="A25" s="247"/>
      <c r="B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250"/>
      <c r="AC25" s="250"/>
    </row>
    <row r="26" spans="1:255" s="17" customFormat="1" ht="12.75" outlineLevel="1">
      <c r="A26" s="308" t="s">
        <v>416</v>
      </c>
      <c r="B26" s="309">
        <v>74575.634022332903</v>
      </c>
      <c r="D26" s="247"/>
      <c r="E26" s="247"/>
      <c r="F26" s="247"/>
      <c r="G26" s="247"/>
      <c r="H26" s="247"/>
      <c r="I26" s="247"/>
      <c r="J26" s="247"/>
      <c r="K26" s="247"/>
      <c r="L26" s="247"/>
      <c r="M26" s="247"/>
      <c r="N26" s="247"/>
      <c r="O26" s="247"/>
      <c r="P26" s="247"/>
      <c r="Q26" s="247"/>
      <c r="R26" s="247"/>
      <c r="S26" s="247"/>
      <c r="T26" s="247"/>
      <c r="U26" s="247"/>
      <c r="V26" s="247"/>
      <c r="W26" s="247"/>
      <c r="X26" s="247"/>
      <c r="Y26" s="247"/>
      <c r="Z26" s="247"/>
      <c r="AA26" s="247"/>
      <c r="AB26" s="250"/>
      <c r="AC26" s="250"/>
    </row>
    <row r="27" spans="1:255" s="17" customFormat="1" ht="12.75" outlineLevel="1">
      <c r="A27" s="310" t="s">
        <v>417</v>
      </c>
      <c r="B27" s="311">
        <v>114106.16874308027</v>
      </c>
      <c r="D27" s="247"/>
      <c r="E27" s="247"/>
      <c r="F27" s="247"/>
      <c r="G27" s="247"/>
      <c r="H27" s="247"/>
      <c r="I27" s="247"/>
      <c r="J27" s="247"/>
      <c r="K27" s="247"/>
      <c r="L27" s="247"/>
      <c r="M27" s="247"/>
      <c r="N27" s="247"/>
      <c r="O27" s="247"/>
      <c r="P27" s="247"/>
      <c r="Q27" s="247"/>
      <c r="R27" s="247"/>
      <c r="S27" s="247"/>
      <c r="T27" s="247"/>
      <c r="U27" s="247"/>
      <c r="V27" s="247"/>
      <c r="W27" s="247"/>
      <c r="X27" s="247"/>
      <c r="Y27" s="247"/>
      <c r="Z27" s="247"/>
      <c r="AA27" s="247"/>
      <c r="AB27" s="250"/>
      <c r="AC27" s="250"/>
    </row>
    <row r="28" spans="1:255" ht="12.75" outlineLevel="1">
      <c r="A28" s="312" t="s">
        <v>418</v>
      </c>
      <c r="B28" s="387" t="s">
        <v>469</v>
      </c>
      <c r="C28" s="387" t="s">
        <v>470</v>
      </c>
      <c r="D28" s="389">
        <v>2000</v>
      </c>
      <c r="E28" s="390">
        <v>2001</v>
      </c>
      <c r="F28" s="390">
        <v>2002</v>
      </c>
      <c r="G28" s="390">
        <v>2003</v>
      </c>
      <c r="H28" s="390">
        <v>2004</v>
      </c>
      <c r="I28" s="390">
        <v>2005</v>
      </c>
      <c r="J28" s="390">
        <v>2006</v>
      </c>
      <c r="K28" s="390">
        <v>2007</v>
      </c>
      <c r="L28" s="390">
        <v>2008</v>
      </c>
      <c r="M28" s="390">
        <v>2009</v>
      </c>
      <c r="N28" s="391">
        <v>2010</v>
      </c>
      <c r="O28" s="248">
        <v>2011</v>
      </c>
      <c r="P28" s="248">
        <v>2012</v>
      </c>
      <c r="Q28" s="248">
        <v>2013</v>
      </c>
      <c r="R28" s="248">
        <v>2014</v>
      </c>
      <c r="S28" s="248">
        <v>2015</v>
      </c>
      <c r="T28" s="248">
        <v>2016</v>
      </c>
      <c r="U28" s="248">
        <v>2017</v>
      </c>
      <c r="V28" s="248">
        <v>2018</v>
      </c>
      <c r="W28" s="248">
        <v>2019</v>
      </c>
      <c r="X28" s="248">
        <v>2020</v>
      </c>
      <c r="Y28" s="247"/>
      <c r="Z28" s="247"/>
      <c r="AA28" s="247"/>
      <c r="AB28" s="272"/>
      <c r="AC28" s="272"/>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row>
    <row r="29" spans="1:255" s="17" customFormat="1" ht="12.75" outlineLevel="1">
      <c r="A29" s="312" t="s">
        <v>419</v>
      </c>
      <c r="B29" s="388">
        <f>NPV(0.1,D29:Y29)</f>
        <v>465827.09390734404</v>
      </c>
      <c r="C29" s="388">
        <f>B29-B19</f>
        <v>22639.125239113695</v>
      </c>
      <c r="D29" s="392">
        <v>26764.400307787502</v>
      </c>
      <c r="E29" s="393">
        <v>37659.122867724996</v>
      </c>
      <c r="F29" s="393">
        <v>37941.8914792</v>
      </c>
      <c r="G29" s="393">
        <v>48390.371962949954</v>
      </c>
      <c r="H29" s="393">
        <v>57014.548276099689</v>
      </c>
      <c r="I29" s="393">
        <v>58428.693819403445</v>
      </c>
      <c r="J29" s="393">
        <v>59396.629050528769</v>
      </c>
      <c r="K29" s="393">
        <v>60466.480763781285</v>
      </c>
      <c r="L29" s="393">
        <v>61635.776896578143</v>
      </c>
      <c r="M29" s="393">
        <v>62908.470093087453</v>
      </c>
      <c r="N29" s="394">
        <v>64311.978220431505</v>
      </c>
      <c r="O29" s="252">
        <v>66011.637804996237</v>
      </c>
      <c r="P29" s="252">
        <v>67854.543613504706</v>
      </c>
      <c r="Q29" s="252">
        <v>69775.552343712567</v>
      </c>
      <c r="R29" s="252">
        <v>71768.255083452023</v>
      </c>
      <c r="S29" s="252">
        <v>73799.76457160493</v>
      </c>
      <c r="T29" s="252">
        <v>75518.161862180656</v>
      </c>
      <c r="U29" s="252">
        <v>77413.845326110109</v>
      </c>
      <c r="V29" s="252">
        <v>79063.799289266535</v>
      </c>
      <c r="W29" s="252">
        <v>80708.401278059056</v>
      </c>
      <c r="X29" s="252">
        <v>20103.486715349016</v>
      </c>
      <c r="Y29" s="247"/>
      <c r="Z29" s="247"/>
      <c r="AA29" s="247"/>
      <c r="AB29" s="250"/>
      <c r="AC29" s="250"/>
    </row>
    <row r="30" spans="1:255" s="17" customFormat="1" ht="12.75" outlineLevel="1">
      <c r="A30" s="313" t="s">
        <v>420</v>
      </c>
      <c r="B30" s="388">
        <f>NPV(0.1,D30:Y30)</f>
        <v>200994.11178599126</v>
      </c>
      <c r="C30" s="388">
        <f>B30-B20</f>
        <v>7759.015291024145</v>
      </c>
      <c r="D30" s="392">
        <v>16565.1714077875</v>
      </c>
      <c r="E30" s="393">
        <v>20130.952567724999</v>
      </c>
      <c r="F30" s="393">
        <v>20518.081912200003</v>
      </c>
      <c r="G30" s="393">
        <v>20839.012556699996</v>
      </c>
      <c r="H30" s="393">
        <v>21228.431539263001</v>
      </c>
      <c r="I30" s="393">
        <v>21694.681514028391</v>
      </c>
      <c r="J30" s="393">
        <v>22233.179989561242</v>
      </c>
      <c r="K30" s="393">
        <v>22881.072177700582</v>
      </c>
      <c r="L30" s="393">
        <v>23636.721142772345</v>
      </c>
      <c r="M30" s="393">
        <v>24504.95803396052</v>
      </c>
      <c r="N30" s="394">
        <v>25514.12445258259</v>
      </c>
      <c r="O30" s="252">
        <v>26673.173102418565</v>
      </c>
      <c r="P30" s="252">
        <v>27978.132213245623</v>
      </c>
      <c r="Q30" s="252">
        <v>29364.504886883482</v>
      </c>
      <c r="R30" s="252">
        <v>30826.565001658993</v>
      </c>
      <c r="S30" s="252">
        <v>32332.146074801258</v>
      </c>
      <c r="T30" s="252">
        <v>33894.924060682548</v>
      </c>
      <c r="U30" s="252">
        <v>35663.15474302302</v>
      </c>
      <c r="V30" s="252">
        <v>37215.65249645646</v>
      </c>
      <c r="W30" s="252">
        <v>38794.709349207405</v>
      </c>
      <c r="X30" s="252">
        <v>0</v>
      </c>
      <c r="Y30" s="247"/>
      <c r="Z30" s="247"/>
      <c r="AA30" s="247"/>
      <c r="AB30" s="250"/>
      <c r="AC30" s="250"/>
    </row>
    <row r="31" spans="1:255" s="52" customFormat="1" ht="12.75" outlineLevel="1">
      <c r="A31" s="313" t="s">
        <v>35</v>
      </c>
      <c r="B31" s="388">
        <f>NPV(0.1,D31:Y31)</f>
        <v>85076.749691918623</v>
      </c>
      <c r="C31" s="388">
        <f>B31-B21</f>
        <v>6687.8414427477692</v>
      </c>
      <c r="D31" s="392">
        <v>122.22923358511335</v>
      </c>
      <c r="E31" s="393">
        <v>304.01463781595839</v>
      </c>
      <c r="F31" s="393">
        <v>355.40245629278411</v>
      </c>
      <c r="G31" s="393">
        <v>6477.7021814393174</v>
      </c>
      <c r="H31" s="393">
        <v>11405.149944551162</v>
      </c>
      <c r="I31" s="393">
        <v>12367.678808694307</v>
      </c>
      <c r="J31" s="393">
        <v>12988.530952614383</v>
      </c>
      <c r="K31" s="393">
        <v>13408.621892900444</v>
      </c>
      <c r="L31" s="393">
        <v>13910.135256989715</v>
      </c>
      <c r="M31" s="393">
        <v>14433.604979661606</v>
      </c>
      <c r="N31" s="394">
        <v>14980.474501864577</v>
      </c>
      <c r="O31" s="252">
        <v>15577.706204441451</v>
      </c>
      <c r="P31" s="252">
        <v>16278.642901895055</v>
      </c>
      <c r="Q31" s="252">
        <v>17017.332708814825</v>
      </c>
      <c r="R31" s="252">
        <v>17796.454999772177</v>
      </c>
      <c r="S31" s="252">
        <v>18541.873636858923</v>
      </c>
      <c r="T31" s="252">
        <v>19193.17931153949</v>
      </c>
      <c r="U31" s="252">
        <v>19874.269686176878</v>
      </c>
      <c r="V31" s="252">
        <v>20587.210420760955</v>
      </c>
      <c r="W31" s="252">
        <v>21066.616577443005</v>
      </c>
      <c r="X31" s="252">
        <v>0</v>
      </c>
      <c r="Y31" s="247"/>
      <c r="Z31" s="247"/>
      <c r="AA31" s="247"/>
      <c r="AB31" s="303"/>
      <c r="AC31" s="303"/>
    </row>
    <row r="32" spans="1:255" s="52" customFormat="1" ht="12.75" outlineLevel="1">
      <c r="A32" s="313" t="s">
        <v>32</v>
      </c>
      <c r="B32" s="388">
        <f>NPV(0.1,D32:Y32)</f>
        <v>100759.50176410261</v>
      </c>
      <c r="C32" s="388">
        <f>B32-B22</f>
        <v>3790.6494100002019</v>
      </c>
      <c r="D32" s="395">
        <v>2741.3629808126079</v>
      </c>
      <c r="E32" s="396">
        <v>4384.3160356058161</v>
      </c>
      <c r="F32" s="396">
        <v>4383.8935865768381</v>
      </c>
      <c r="G32" s="396">
        <v>16858.558442978589</v>
      </c>
      <c r="H32" s="396">
        <v>21073.4358642603</v>
      </c>
      <c r="I32" s="396">
        <v>15309.577829091168</v>
      </c>
      <c r="J32" s="396">
        <v>15127.435764549238</v>
      </c>
      <c r="K32" s="396">
        <v>15035.074458249999</v>
      </c>
      <c r="L32" s="396">
        <v>14973.489502381508</v>
      </c>
      <c r="M32" s="396">
        <v>14904.287816822633</v>
      </c>
      <c r="N32" s="397">
        <v>14802.143220175167</v>
      </c>
      <c r="O32" s="252">
        <v>14651.730416352897</v>
      </c>
      <c r="P32" s="252">
        <v>14533.301905113505</v>
      </c>
      <c r="Q32" s="252">
        <v>14400.199975451424</v>
      </c>
      <c r="R32" s="252">
        <v>14226.409726941933</v>
      </c>
      <c r="S32" s="252">
        <v>10877.573655577367</v>
      </c>
      <c r="T32" s="252">
        <v>10132.606568002866</v>
      </c>
      <c r="U32" s="252">
        <v>9792.3333760267051</v>
      </c>
      <c r="V32" s="252">
        <v>9413.6118852951313</v>
      </c>
      <c r="W32" s="252">
        <v>15467.803027527883</v>
      </c>
      <c r="X32" s="252">
        <v>0</v>
      </c>
      <c r="Y32" s="247"/>
      <c r="Z32" s="247"/>
      <c r="AA32" s="247"/>
      <c r="AB32" s="303"/>
      <c r="AC32" s="303"/>
    </row>
    <row r="33" spans="1:29" s="52" customFormat="1" ht="12.75" outlineLevel="1">
      <c r="A33" s="247"/>
      <c r="B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303"/>
      <c r="AC33" s="303"/>
    </row>
    <row r="34" spans="1:29" s="52" customFormat="1" ht="12.75" outlineLevel="1">
      <c r="A34" s="292" t="s">
        <v>441</v>
      </c>
      <c r="B34" s="247"/>
      <c r="D34" s="247"/>
      <c r="E34" s="247"/>
      <c r="F34" s="247"/>
      <c r="G34" s="247"/>
      <c r="H34" s="247"/>
      <c r="I34" s="247"/>
      <c r="J34" s="247"/>
      <c r="K34" s="247"/>
      <c r="L34" s="247"/>
      <c r="M34" s="247"/>
      <c r="N34" s="247"/>
      <c r="O34" s="247"/>
      <c r="P34" s="247"/>
      <c r="Q34" s="247"/>
      <c r="R34" s="247"/>
      <c r="S34" s="247"/>
      <c r="T34" s="247"/>
      <c r="U34" s="247"/>
      <c r="V34" s="247"/>
      <c r="W34" s="247"/>
      <c r="X34" s="247"/>
      <c r="Y34" s="247"/>
      <c r="Z34" s="247"/>
      <c r="AA34" s="247"/>
      <c r="AB34" s="303"/>
      <c r="AC34" s="303"/>
    </row>
    <row r="35" spans="1:29" s="52" customFormat="1" ht="12.75" outlineLevel="1">
      <c r="A35" s="247"/>
      <c r="B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303"/>
      <c r="AC35" s="303"/>
    </row>
    <row r="36" spans="1:29" s="52" customFormat="1" ht="12.75" outlineLevel="1">
      <c r="A36" s="308" t="s">
        <v>416</v>
      </c>
      <c r="B36" s="309">
        <v>74567.152839271235</v>
      </c>
      <c r="D36" s="247"/>
      <c r="E36" s="247"/>
      <c r="F36" s="247"/>
      <c r="G36" s="247"/>
      <c r="H36" s="247"/>
      <c r="I36" s="247"/>
      <c r="J36" s="247"/>
      <c r="K36" s="247"/>
      <c r="L36" s="247"/>
      <c r="M36" s="247"/>
      <c r="N36" s="247"/>
      <c r="O36" s="247"/>
      <c r="P36" s="247"/>
      <c r="Q36" s="247"/>
      <c r="R36" s="247"/>
      <c r="S36" s="247"/>
      <c r="T36" s="247"/>
      <c r="U36" s="247"/>
      <c r="V36" s="247"/>
      <c r="W36" s="247"/>
      <c r="X36" s="247"/>
      <c r="Y36" s="247"/>
      <c r="Z36" s="247"/>
      <c r="AA36" s="247"/>
      <c r="AB36" s="303"/>
      <c r="AC36" s="303"/>
    </row>
    <row r="37" spans="1:29" s="52" customFormat="1" ht="12.75" outlineLevel="1">
      <c r="A37" s="310" t="s">
        <v>417</v>
      </c>
      <c r="B37" s="311">
        <v>114106.16874308023</v>
      </c>
      <c r="D37" s="247"/>
      <c r="E37" s="247"/>
      <c r="F37" s="247"/>
      <c r="G37" s="247"/>
      <c r="H37" s="247"/>
      <c r="I37" s="247"/>
      <c r="J37" s="247"/>
      <c r="K37" s="247"/>
      <c r="L37" s="247"/>
      <c r="M37" s="247"/>
      <c r="N37" s="247"/>
      <c r="O37" s="247"/>
      <c r="P37" s="247"/>
      <c r="Q37" s="247"/>
      <c r="R37" s="247"/>
      <c r="S37" s="247"/>
      <c r="T37" s="247"/>
      <c r="U37" s="247"/>
      <c r="V37" s="247"/>
      <c r="W37" s="247"/>
      <c r="X37" s="247"/>
      <c r="Y37" s="247"/>
      <c r="Z37" s="247"/>
      <c r="AA37" s="247"/>
      <c r="AB37" s="303"/>
      <c r="AC37" s="303"/>
    </row>
    <row r="38" spans="1:29" s="52" customFormat="1" ht="12.75" outlineLevel="1">
      <c r="A38" s="312" t="s">
        <v>418</v>
      </c>
      <c r="B38" s="387" t="s">
        <v>469</v>
      </c>
      <c r="C38" s="387" t="s">
        <v>470</v>
      </c>
      <c r="D38" s="389">
        <v>2000</v>
      </c>
      <c r="E38" s="390">
        <v>2001</v>
      </c>
      <c r="F38" s="390">
        <v>2002</v>
      </c>
      <c r="G38" s="390">
        <v>2003</v>
      </c>
      <c r="H38" s="390">
        <v>2004</v>
      </c>
      <c r="I38" s="390">
        <v>2005</v>
      </c>
      <c r="J38" s="390">
        <v>2006</v>
      </c>
      <c r="K38" s="390">
        <v>2007</v>
      </c>
      <c r="L38" s="390">
        <v>2008</v>
      </c>
      <c r="M38" s="390">
        <v>2009</v>
      </c>
      <c r="N38" s="391">
        <v>2010</v>
      </c>
      <c r="O38" s="248">
        <v>2011</v>
      </c>
      <c r="P38" s="248">
        <v>2012</v>
      </c>
      <c r="Q38" s="248">
        <v>2013</v>
      </c>
      <c r="R38" s="248">
        <v>2014</v>
      </c>
      <c r="S38" s="248">
        <v>2015</v>
      </c>
      <c r="T38" s="248">
        <v>2016</v>
      </c>
      <c r="U38" s="248">
        <v>2017</v>
      </c>
      <c r="V38" s="248">
        <v>2018</v>
      </c>
      <c r="W38" s="248">
        <v>2019</v>
      </c>
      <c r="X38" s="248">
        <v>2020</v>
      </c>
      <c r="Y38" s="247"/>
      <c r="Z38" s="247"/>
      <c r="AA38" s="247"/>
      <c r="AB38" s="303"/>
      <c r="AC38" s="303"/>
    </row>
    <row r="39" spans="1:29" s="52" customFormat="1" ht="12.75" outlineLevel="1">
      <c r="A39" s="312" t="s">
        <v>419</v>
      </c>
      <c r="B39" s="388">
        <f>NPV(0.1,D39:Y39)</f>
        <v>462628.03707425296</v>
      </c>
      <c r="C39" s="388">
        <f>B39-B29</f>
        <v>-3199.0568330910755</v>
      </c>
      <c r="D39" s="392">
        <v>26458.2843077875</v>
      </c>
      <c r="E39" s="393">
        <v>37343.823387724995</v>
      </c>
      <c r="F39" s="393">
        <v>37617.133014799998</v>
      </c>
      <c r="G39" s="393">
        <v>48055.870744617954</v>
      </c>
      <c r="H39" s="393">
        <v>56670.012021217728</v>
      </c>
      <c r="I39" s="393">
        <v>58073.821476875019</v>
      </c>
      <c r="J39" s="393">
        <v>59031.110537724497</v>
      </c>
      <c r="K39" s="393">
        <v>60089.996695592883</v>
      </c>
      <c r="L39" s="393">
        <v>61247.998306344089</v>
      </c>
      <c r="M39" s="393">
        <v>62509.05814514638</v>
      </c>
      <c r="N39" s="394">
        <v>63900.5839140522</v>
      </c>
      <c r="O39" s="252">
        <v>65587.901669425555</v>
      </c>
      <c r="P39" s="252">
        <v>67418.095393866897</v>
      </c>
      <c r="Q39" s="252">
        <v>69326.01067748561</v>
      </c>
      <c r="R39" s="252">
        <v>71305.227167238278</v>
      </c>
      <c r="S39" s="252">
        <v>73322.845817904774</v>
      </c>
      <c r="T39" s="252">
        <v>75026.935545869492</v>
      </c>
      <c r="U39" s="252">
        <v>76907.882220309606</v>
      </c>
      <c r="V39" s="252">
        <v>78542.657290292016</v>
      </c>
      <c r="W39" s="252">
        <v>80171.625019115309</v>
      </c>
      <c r="X39" s="252">
        <v>20103.486715349016</v>
      </c>
      <c r="Y39" s="247"/>
      <c r="Z39" s="247"/>
      <c r="AA39" s="247"/>
      <c r="AB39" s="303"/>
      <c r="AC39" s="303"/>
    </row>
    <row r="40" spans="1:29" s="52" customFormat="1" ht="12.75" outlineLevel="1">
      <c r="A40" s="313" t="s">
        <v>420</v>
      </c>
      <c r="B40" s="388">
        <f>NPV(0.1,D40:Y40)</f>
        <v>197872.04089484498</v>
      </c>
      <c r="C40" s="388">
        <f>B40-B30</f>
        <v>-3122.0708911462862</v>
      </c>
      <c r="D40" s="392">
        <v>16259.055407787502</v>
      </c>
      <c r="E40" s="393">
        <v>19815.653087724997</v>
      </c>
      <c r="F40" s="393">
        <v>20193.323447800001</v>
      </c>
      <c r="G40" s="393">
        <v>20504.511338367996</v>
      </c>
      <c r="H40" s="393">
        <v>20883.895284381037</v>
      </c>
      <c r="I40" s="393">
        <v>21339.809171499972</v>
      </c>
      <c r="J40" s="393">
        <v>21867.66147675697</v>
      </c>
      <c r="K40" s="393">
        <v>22504.58810951218</v>
      </c>
      <c r="L40" s="393">
        <v>23248.94255253829</v>
      </c>
      <c r="M40" s="393">
        <v>24105.546086019443</v>
      </c>
      <c r="N40" s="394">
        <v>25102.730146203285</v>
      </c>
      <c r="O40" s="252">
        <v>26249.436966847883</v>
      </c>
      <c r="P40" s="252">
        <v>27541.683993607818</v>
      </c>
      <c r="Q40" s="252">
        <v>28914.963220656544</v>
      </c>
      <c r="R40" s="252">
        <v>30363.537085445249</v>
      </c>
      <c r="S40" s="252">
        <v>31855.227321101098</v>
      </c>
      <c r="T40" s="252">
        <v>33403.697744371384</v>
      </c>
      <c r="U40" s="252">
        <v>35157.191637222524</v>
      </c>
      <c r="V40" s="252">
        <v>36694.510497481948</v>
      </c>
      <c r="W40" s="252">
        <v>38257.933090263658</v>
      </c>
      <c r="X40" s="252">
        <v>569.71521258603298</v>
      </c>
      <c r="Y40" s="247"/>
      <c r="Z40" s="247"/>
      <c r="AA40" s="247"/>
      <c r="AB40" s="303"/>
      <c r="AC40" s="303"/>
    </row>
    <row r="41" spans="1:29" s="52" customFormat="1" ht="12.75" outlineLevel="1">
      <c r="A41" s="313" t="s">
        <v>35</v>
      </c>
      <c r="B41" s="388">
        <f>NPV(0.1,D41:Y41)</f>
        <v>84996.394883248111</v>
      </c>
      <c r="C41" s="388">
        <f>B41-B31</f>
        <v>-80.354808670512284</v>
      </c>
      <c r="D41" s="392">
        <v>-272.86920391488877</v>
      </c>
      <c r="E41" s="393">
        <v>393.47088781595835</v>
      </c>
      <c r="F41" s="393">
        <v>444.85870629278406</v>
      </c>
      <c r="G41" s="393">
        <v>6567.1584314393176</v>
      </c>
      <c r="H41" s="393">
        <v>11494.606194551163</v>
      </c>
      <c r="I41" s="393">
        <v>12404.952246194298</v>
      </c>
      <c r="J41" s="393">
        <v>12988.530952614383</v>
      </c>
      <c r="K41" s="393">
        <v>13408.621892900444</v>
      </c>
      <c r="L41" s="393">
        <v>13910.135256989715</v>
      </c>
      <c r="M41" s="393">
        <v>14433.604979661606</v>
      </c>
      <c r="N41" s="394">
        <v>14980.474501864577</v>
      </c>
      <c r="O41" s="252">
        <v>15577.706204441451</v>
      </c>
      <c r="P41" s="252">
        <v>16278.642901895055</v>
      </c>
      <c r="Q41" s="252">
        <v>17017.332708814814</v>
      </c>
      <c r="R41" s="252">
        <v>17796.454999772177</v>
      </c>
      <c r="S41" s="252">
        <v>18541.873636858923</v>
      </c>
      <c r="T41" s="252">
        <v>19193.179311539483</v>
      </c>
      <c r="U41" s="252">
        <v>19874.269686176871</v>
      </c>
      <c r="V41" s="252">
        <v>20587.210420760948</v>
      </c>
      <c r="W41" s="252">
        <v>21066.616577443005</v>
      </c>
      <c r="X41" s="252">
        <v>0</v>
      </c>
      <c r="Y41" s="247"/>
      <c r="Z41" s="247"/>
      <c r="AA41" s="247"/>
      <c r="AB41" s="303"/>
      <c r="AC41" s="303"/>
    </row>
    <row r="42" spans="1:29" s="52" customFormat="1" ht="12.75" outlineLevel="1">
      <c r="A42" s="313" t="s">
        <v>32</v>
      </c>
      <c r="B42" s="388">
        <f>NPV(0.1,D42:Y42)</f>
        <v>100750.39180754453</v>
      </c>
      <c r="C42" s="388">
        <f>B42-B32</f>
        <v>-9.1099565580807393</v>
      </c>
      <c r="D42" s="395">
        <v>2741.3629808126075</v>
      </c>
      <c r="E42" s="396">
        <v>4384.3160356058161</v>
      </c>
      <c r="F42" s="396">
        <v>4383.8935865768381</v>
      </c>
      <c r="G42" s="396">
        <v>16858.558442978589</v>
      </c>
      <c r="H42" s="396">
        <v>21081.697426760304</v>
      </c>
      <c r="I42" s="396">
        <v>15284.351266591166</v>
      </c>
      <c r="J42" s="396">
        <v>15127.435764549238</v>
      </c>
      <c r="K42" s="396">
        <v>15035.074458249999</v>
      </c>
      <c r="L42" s="396">
        <v>14973.489502381508</v>
      </c>
      <c r="M42" s="396">
        <v>14904.287816822633</v>
      </c>
      <c r="N42" s="397">
        <v>14802.143220175167</v>
      </c>
      <c r="O42" s="252">
        <v>14651.730416352897</v>
      </c>
      <c r="P42" s="252">
        <v>14533.301905113505</v>
      </c>
      <c r="Q42" s="252">
        <v>14400.199975451422</v>
      </c>
      <c r="R42" s="252">
        <v>14226.409726941925</v>
      </c>
      <c r="S42" s="252">
        <v>10877.573655577369</v>
      </c>
      <c r="T42" s="252">
        <v>10132.606568002864</v>
      </c>
      <c r="U42" s="252">
        <v>9792.3333760266978</v>
      </c>
      <c r="V42" s="252">
        <v>9413.6118852951295</v>
      </c>
      <c r="W42" s="252">
        <v>15467.803027527887</v>
      </c>
      <c r="X42" s="252">
        <v>0</v>
      </c>
      <c r="Y42" s="247"/>
      <c r="Z42" s="247"/>
      <c r="AA42" s="247"/>
      <c r="AB42" s="303"/>
      <c r="AC42" s="303"/>
    </row>
    <row r="43" spans="1:29" ht="12.75" outlineLevel="1">
      <c r="A43" s="247"/>
      <c r="B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c r="AA43" s="247"/>
    </row>
    <row r="44" spans="1:29" ht="12.75" outlineLevel="1">
      <c r="A44" s="292" t="s">
        <v>442</v>
      </c>
      <c r="B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row>
    <row r="45" spans="1:29" ht="12.75">
      <c r="A45" s="247"/>
      <c r="B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c r="AA45" s="247"/>
    </row>
    <row r="46" spans="1:29" ht="12.75">
      <c r="A46" s="308" t="s">
        <v>416</v>
      </c>
      <c r="B46" s="309">
        <v>72972.095006285817</v>
      </c>
      <c r="D46" s="247"/>
      <c r="E46" s="247"/>
      <c r="F46" s="247"/>
      <c r="G46" s="247"/>
      <c r="H46" s="247"/>
      <c r="I46" s="247"/>
      <c r="J46" s="247"/>
      <c r="K46" s="247"/>
      <c r="L46" s="247"/>
      <c r="M46" s="247"/>
      <c r="N46" s="247"/>
      <c r="O46" s="247"/>
      <c r="P46" s="247"/>
      <c r="Q46" s="247"/>
      <c r="R46" s="247"/>
      <c r="S46" s="247"/>
      <c r="T46" s="247"/>
      <c r="U46" s="247"/>
      <c r="V46" s="247"/>
      <c r="W46" s="247"/>
      <c r="X46" s="247"/>
      <c r="Y46" s="247"/>
      <c r="Z46" s="247"/>
      <c r="AA46" s="247"/>
    </row>
    <row r="47" spans="1:29" ht="12.75">
      <c r="A47" s="310" t="s">
        <v>417</v>
      </c>
      <c r="B47" s="311">
        <v>112010.46112267025</v>
      </c>
      <c r="D47" s="247"/>
      <c r="E47" s="247"/>
      <c r="F47" s="247"/>
      <c r="G47" s="247"/>
      <c r="H47" s="247"/>
      <c r="I47" s="247"/>
      <c r="J47" s="247"/>
      <c r="K47" s="247"/>
      <c r="L47" s="247"/>
      <c r="M47" s="247"/>
      <c r="N47" s="247"/>
      <c r="O47" s="247"/>
      <c r="P47" s="247"/>
      <c r="Q47" s="247"/>
      <c r="R47" s="247"/>
      <c r="S47" s="247"/>
      <c r="T47" s="247"/>
      <c r="U47" s="247"/>
      <c r="V47" s="247"/>
      <c r="W47" s="247"/>
      <c r="X47" s="247"/>
      <c r="Y47" s="247"/>
      <c r="Z47" s="247"/>
      <c r="AA47" s="247"/>
    </row>
    <row r="48" spans="1:29" ht="12.75" outlineLevel="1">
      <c r="A48" s="312" t="s">
        <v>418</v>
      </c>
      <c r="B48" s="387" t="s">
        <v>469</v>
      </c>
      <c r="C48" s="387" t="s">
        <v>470</v>
      </c>
      <c r="D48" s="389">
        <v>2000</v>
      </c>
      <c r="E48" s="390">
        <v>2001</v>
      </c>
      <c r="F48" s="390">
        <v>2002</v>
      </c>
      <c r="G48" s="390">
        <v>2003</v>
      </c>
      <c r="H48" s="390">
        <v>2004</v>
      </c>
      <c r="I48" s="390">
        <v>2005</v>
      </c>
      <c r="J48" s="390">
        <v>2006</v>
      </c>
      <c r="K48" s="390">
        <v>2007</v>
      </c>
      <c r="L48" s="390">
        <v>2008</v>
      </c>
      <c r="M48" s="390">
        <v>2009</v>
      </c>
      <c r="N48" s="391">
        <v>2010</v>
      </c>
      <c r="O48" s="248">
        <v>2011</v>
      </c>
      <c r="P48" s="248">
        <v>2012</v>
      </c>
      <c r="Q48" s="248">
        <v>2013</v>
      </c>
      <c r="R48" s="248">
        <v>2014</v>
      </c>
      <c r="S48" s="248">
        <v>2015</v>
      </c>
      <c r="T48" s="248">
        <v>2016</v>
      </c>
      <c r="U48" s="248">
        <v>2017</v>
      </c>
      <c r="V48" s="248">
        <v>2018</v>
      </c>
      <c r="W48" s="248">
        <v>2019</v>
      </c>
      <c r="X48" s="248">
        <v>2020</v>
      </c>
      <c r="Y48" s="247"/>
      <c r="Z48" s="247"/>
      <c r="AA48" s="247"/>
    </row>
    <row r="49" spans="1:27" ht="12.75" outlineLevel="1">
      <c r="A49" s="312" t="s">
        <v>419</v>
      </c>
      <c r="B49" s="388">
        <f>NPV(0.1,D49:Y49)</f>
        <v>462628.03707425296</v>
      </c>
      <c r="C49" s="388">
        <f>B49-B39</f>
        <v>0</v>
      </c>
      <c r="D49" s="392">
        <v>26458.2843077875</v>
      </c>
      <c r="E49" s="393">
        <v>37343.823387724995</v>
      </c>
      <c r="F49" s="393">
        <v>37617.133014799998</v>
      </c>
      <c r="G49" s="393">
        <v>48055.870744617954</v>
      </c>
      <c r="H49" s="393">
        <v>56670.012021217728</v>
      </c>
      <c r="I49" s="393">
        <v>58073.821476875019</v>
      </c>
      <c r="J49" s="393">
        <v>59031.110537724497</v>
      </c>
      <c r="K49" s="393">
        <v>60089.996695592883</v>
      </c>
      <c r="L49" s="393">
        <v>61247.998306344089</v>
      </c>
      <c r="M49" s="393">
        <v>62509.05814514638</v>
      </c>
      <c r="N49" s="394">
        <v>63900.5839140522</v>
      </c>
      <c r="O49" s="252">
        <v>65587.901669425555</v>
      </c>
      <c r="P49" s="252">
        <v>67418.095393866897</v>
      </c>
      <c r="Q49" s="252">
        <v>69326.01067748561</v>
      </c>
      <c r="R49" s="252">
        <v>71305.227167238278</v>
      </c>
      <c r="S49" s="252">
        <v>73322.845817904774</v>
      </c>
      <c r="T49" s="252">
        <v>75026.935545869492</v>
      </c>
      <c r="U49" s="252">
        <v>76907.882220309606</v>
      </c>
      <c r="V49" s="252">
        <v>78542.657290292016</v>
      </c>
      <c r="W49" s="252">
        <v>80171.625019115309</v>
      </c>
      <c r="X49" s="252">
        <v>20103.486715349016</v>
      </c>
      <c r="Y49" s="247"/>
      <c r="Z49" s="247"/>
      <c r="AA49" s="247"/>
    </row>
    <row r="50" spans="1:27" ht="12.75" outlineLevel="1">
      <c r="A50" s="313" t="s">
        <v>420</v>
      </c>
      <c r="B50" s="388">
        <f>NPV(0.1,D50:Y50)</f>
        <v>199967.75647792444</v>
      </c>
      <c r="C50" s="388">
        <f>B50-B40</f>
        <v>2095.7155830794654</v>
      </c>
      <c r="D50" s="392">
        <v>16379.22207445417</v>
      </c>
      <c r="E50" s="393">
        <v>20027.833087724997</v>
      </c>
      <c r="F50" s="393">
        <v>20411.8688478</v>
      </c>
      <c r="G50" s="393">
        <v>20729.613100367998</v>
      </c>
      <c r="H50" s="393">
        <v>21115.750099241039</v>
      </c>
      <c r="I50" s="393">
        <v>21578.61963080577</v>
      </c>
      <c r="J50" s="393">
        <v>22113.636249841948</v>
      </c>
      <c r="K50" s="393">
        <v>22757.942125789705</v>
      </c>
      <c r="L50" s="393">
        <v>23509.897189304142</v>
      </c>
      <c r="M50" s="393">
        <v>24374.329361888267</v>
      </c>
      <c r="N50" s="394">
        <v>25379.576920348172</v>
      </c>
      <c r="O50" s="252">
        <v>26534.58914421712</v>
      </c>
      <c r="P50" s="252">
        <v>27835.39073629813</v>
      </c>
      <c r="Q50" s="252">
        <v>29217.481165627571</v>
      </c>
      <c r="R50" s="252">
        <v>30675.130568765402</v>
      </c>
      <c r="S50" s="252">
        <v>32176.168608920856</v>
      </c>
      <c r="T50" s="252">
        <v>33734.267270825731</v>
      </c>
      <c r="U50" s="252">
        <v>35497.678249470504</v>
      </c>
      <c r="V50" s="252">
        <v>37045.211708097369</v>
      </c>
      <c r="W50" s="252">
        <v>38619.155337197539</v>
      </c>
      <c r="X50" s="252">
        <v>724.73976022849092</v>
      </c>
      <c r="Y50" s="247"/>
      <c r="Z50" s="247"/>
      <c r="AA50" s="247"/>
    </row>
    <row r="51" spans="1:27" ht="12.75" outlineLevel="1">
      <c r="A51" s="313" t="s">
        <v>35</v>
      </c>
      <c r="B51" s="388">
        <f>NPV(0.1,D51:Y51)</f>
        <v>84089.41920344242</v>
      </c>
      <c r="C51" s="388">
        <f>B51-B41</f>
        <v>-906.97567980569147</v>
      </c>
      <c r="D51" s="392">
        <v>-312.93324669094312</v>
      </c>
      <c r="E51" s="393">
        <v>319.37981153411505</v>
      </c>
      <c r="F51" s="393">
        <v>363.66223718925499</v>
      </c>
      <c r="G51" s="393">
        <v>6478.2599095662335</v>
      </c>
      <c r="H51" s="393">
        <v>11401.187409702863</v>
      </c>
      <c r="I51" s="393">
        <v>12306.724069666956</v>
      </c>
      <c r="J51" s="393">
        <v>12885.183300177876</v>
      </c>
      <c r="K51" s="393">
        <v>13299.822113599394</v>
      </c>
      <c r="L51" s="393">
        <v>13795.526395005814</v>
      </c>
      <c r="M51" s="393">
        <v>14312.803899141016</v>
      </c>
      <c r="N51" s="394">
        <v>14853.069863807974</v>
      </c>
      <c r="O51" s="252">
        <v>15443.256283884073</v>
      </c>
      <c r="P51" s="252">
        <v>16136.673232664103</v>
      </c>
      <c r="Q51" s="252">
        <v>16867.333542136475</v>
      </c>
      <c r="R51" s="252">
        <v>17637.878561904352</v>
      </c>
      <c r="S51" s="252">
        <v>18374.131169741748</v>
      </c>
      <c r="T51" s="252">
        <v>19015.637879177357</v>
      </c>
      <c r="U51" s="252">
        <v>19686.248728084876</v>
      </c>
      <c r="V51" s="252">
        <v>20387.97803231742</v>
      </c>
      <c r="W51" s="252">
        <v>20857.575590817149</v>
      </c>
      <c r="X51" s="252">
        <v>0</v>
      </c>
      <c r="Y51" s="247"/>
      <c r="Z51" s="247"/>
      <c r="AA51" s="247"/>
    </row>
    <row r="52" spans="1:27" ht="12.75" outlineLevel="1">
      <c r="A52" s="313" t="s">
        <v>32</v>
      </c>
      <c r="B52" s="388">
        <f>NPV(0.1,D52:Y52)</f>
        <v>100203.6925153997</v>
      </c>
      <c r="C52" s="388">
        <f>B52-B42</f>
        <v>-546.69929214482545</v>
      </c>
      <c r="D52" s="395">
        <v>2711.4900096587608</v>
      </c>
      <c r="E52" s="396">
        <v>4331.6790740673514</v>
      </c>
      <c r="F52" s="396">
        <v>4329.7876865768394</v>
      </c>
      <c r="G52" s="396">
        <v>16719.825039624746</v>
      </c>
      <c r="H52" s="396">
        <v>21176.951812368578</v>
      </c>
      <c r="I52" s="396">
        <v>15203.873211193561</v>
      </c>
      <c r="J52" s="396">
        <v>15046.123968444517</v>
      </c>
      <c r="K52" s="396">
        <v>14953.025101064302</v>
      </c>
      <c r="L52" s="396">
        <v>14890.811344477519</v>
      </c>
      <c r="M52" s="396">
        <v>14821.103352349541</v>
      </c>
      <c r="N52" s="397">
        <v>14718.589926760289</v>
      </c>
      <c r="O52" s="252">
        <v>14567.962109298323</v>
      </c>
      <c r="P52" s="252">
        <v>14449.490204594</v>
      </c>
      <c r="Q52" s="252">
        <v>14316.535895893732</v>
      </c>
      <c r="R52" s="252">
        <v>14143.105398504067</v>
      </c>
      <c r="S52" s="252">
        <v>10794.864188444388</v>
      </c>
      <c r="T52" s="252">
        <v>10050.752071077513</v>
      </c>
      <c r="U52" s="252">
        <v>9711.6211425238653</v>
      </c>
      <c r="V52" s="252">
        <v>9334.3587587548809</v>
      </c>
      <c r="W52" s="252">
        <v>15310.940365977262</v>
      </c>
      <c r="X52" s="252">
        <v>0</v>
      </c>
      <c r="Y52" s="247"/>
      <c r="Z52" s="247"/>
      <c r="AA52" s="247"/>
    </row>
    <row r="53" spans="1:27" ht="12.75" outlineLevel="1">
      <c r="A53" s="247"/>
      <c r="B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c r="AA53" s="247"/>
    </row>
    <row r="54" spans="1:27" ht="12.75" outlineLevel="1">
      <c r="A54" s="292" t="s">
        <v>444</v>
      </c>
      <c r="B54" s="247"/>
      <c r="D54" s="247"/>
      <c r="E54" s="247"/>
      <c r="F54" s="247"/>
      <c r="G54" s="247"/>
      <c r="H54" s="247"/>
      <c r="I54" s="247"/>
      <c r="J54" s="247"/>
      <c r="K54" s="247"/>
      <c r="L54" s="247"/>
      <c r="M54" s="247"/>
      <c r="N54" s="247"/>
      <c r="O54" s="247"/>
      <c r="P54" s="247"/>
      <c r="Q54" s="247"/>
      <c r="R54" s="247"/>
      <c r="S54" s="247"/>
      <c r="T54" s="247"/>
      <c r="U54" s="247"/>
      <c r="V54" s="247"/>
      <c r="W54" s="247"/>
      <c r="X54" s="247"/>
      <c r="Y54" s="247"/>
      <c r="Z54" s="247"/>
      <c r="AA54" s="247"/>
    </row>
    <row r="55" spans="1:27" ht="12.75" outlineLevel="1">
      <c r="A55" s="247"/>
      <c r="B55" s="247"/>
      <c r="D55" s="247"/>
      <c r="E55" s="247"/>
      <c r="F55" s="247"/>
      <c r="G55" s="247"/>
      <c r="H55" s="247"/>
      <c r="I55" s="247"/>
      <c r="J55" s="247"/>
      <c r="K55" s="247"/>
      <c r="L55" s="247"/>
      <c r="M55" s="247"/>
      <c r="N55" s="247"/>
      <c r="O55" s="247"/>
      <c r="P55" s="247"/>
      <c r="Q55" s="247"/>
      <c r="R55" s="247"/>
      <c r="S55" s="247"/>
      <c r="T55" s="247"/>
      <c r="U55" s="247"/>
      <c r="V55" s="247"/>
      <c r="W55" s="247"/>
      <c r="X55" s="247"/>
      <c r="Y55" s="247"/>
      <c r="Z55" s="247"/>
      <c r="AA55" s="247"/>
    </row>
    <row r="56" spans="1:27" ht="12.75" outlineLevel="1">
      <c r="A56" s="308" t="s">
        <v>416</v>
      </c>
      <c r="B56" s="309">
        <v>72972.095006285832</v>
      </c>
      <c r="D56" s="247"/>
      <c r="E56" s="247"/>
      <c r="F56" s="247"/>
      <c r="G56" s="247"/>
      <c r="H56" s="247"/>
      <c r="I56" s="247"/>
      <c r="J56" s="247"/>
      <c r="K56" s="247"/>
      <c r="L56" s="247"/>
      <c r="M56" s="247"/>
      <c r="N56" s="247"/>
      <c r="O56" s="247"/>
      <c r="P56" s="247"/>
      <c r="Q56" s="247"/>
      <c r="R56" s="247"/>
      <c r="S56" s="247"/>
      <c r="T56" s="247"/>
      <c r="U56" s="247"/>
      <c r="V56" s="247"/>
      <c r="W56" s="247"/>
      <c r="X56" s="247"/>
      <c r="Y56" s="247"/>
      <c r="Z56" s="247"/>
      <c r="AA56" s="247"/>
    </row>
    <row r="57" spans="1:27" ht="12.75" outlineLevel="1">
      <c r="A57" s="310" t="s">
        <v>417</v>
      </c>
      <c r="B57" s="311">
        <v>112010.46112267027</v>
      </c>
      <c r="D57" s="247"/>
      <c r="E57" s="247"/>
      <c r="F57" s="247"/>
      <c r="G57" s="247"/>
      <c r="H57" s="247"/>
      <c r="I57" s="247"/>
      <c r="J57" s="247"/>
      <c r="K57" s="247"/>
      <c r="L57" s="247"/>
      <c r="M57" s="247"/>
      <c r="N57" s="247"/>
      <c r="O57" s="247"/>
      <c r="P57" s="247"/>
      <c r="Q57" s="247"/>
      <c r="R57" s="247"/>
      <c r="S57" s="247"/>
      <c r="T57" s="247"/>
      <c r="U57" s="247"/>
      <c r="V57" s="247"/>
      <c r="W57" s="247"/>
      <c r="X57" s="247"/>
      <c r="Y57" s="247"/>
      <c r="Z57" s="247"/>
      <c r="AA57" s="247"/>
    </row>
    <row r="58" spans="1:27" ht="12.75" outlineLevel="1">
      <c r="A58" s="312" t="s">
        <v>418</v>
      </c>
      <c r="B58" s="387" t="s">
        <v>469</v>
      </c>
      <c r="C58" s="387" t="s">
        <v>470</v>
      </c>
      <c r="D58" s="389">
        <v>2000</v>
      </c>
      <c r="E58" s="390">
        <v>2001</v>
      </c>
      <c r="F58" s="390">
        <v>2002</v>
      </c>
      <c r="G58" s="390">
        <v>2003</v>
      </c>
      <c r="H58" s="390">
        <v>2004</v>
      </c>
      <c r="I58" s="390">
        <v>2005</v>
      </c>
      <c r="J58" s="390">
        <v>2006</v>
      </c>
      <c r="K58" s="390">
        <v>2007</v>
      </c>
      <c r="L58" s="390">
        <v>2008</v>
      </c>
      <c r="M58" s="390">
        <v>2009</v>
      </c>
      <c r="N58" s="391">
        <v>2010</v>
      </c>
      <c r="O58" s="248">
        <v>2011</v>
      </c>
      <c r="P58" s="248">
        <v>2012</v>
      </c>
      <c r="Q58" s="248">
        <v>2013</v>
      </c>
      <c r="R58" s="248">
        <v>2014</v>
      </c>
      <c r="S58" s="248">
        <v>2015</v>
      </c>
      <c r="T58" s="248">
        <v>2016</v>
      </c>
      <c r="U58" s="248">
        <v>2017</v>
      </c>
      <c r="V58" s="248">
        <v>2018</v>
      </c>
      <c r="W58" s="248">
        <v>2019</v>
      </c>
      <c r="X58" s="248">
        <v>2020</v>
      </c>
      <c r="Y58" s="247"/>
      <c r="Z58" s="247"/>
      <c r="AA58" s="247"/>
    </row>
    <row r="59" spans="1:27" ht="12.75" outlineLevel="1">
      <c r="A59" s="312" t="s">
        <v>419</v>
      </c>
      <c r="B59" s="388">
        <f>NPV(0.1,D59:Y59)</f>
        <v>462196.86494935583</v>
      </c>
      <c r="C59" s="388">
        <f>B59-B49</f>
        <v>-431.17212489712983</v>
      </c>
      <c r="D59" s="392">
        <v>26420.891437075003</v>
      </c>
      <c r="E59" s="393">
        <v>37300.885724449996</v>
      </c>
      <c r="F59" s="393">
        <v>37573.480565000005</v>
      </c>
      <c r="G59" s="393">
        <v>48011.693798217952</v>
      </c>
      <c r="H59" s="393">
        <v>56625.134679967734</v>
      </c>
      <c r="I59" s="393">
        <v>58028.045455475025</v>
      </c>
      <c r="J59" s="393">
        <v>58984.250343474501</v>
      </c>
      <c r="K59" s="393">
        <v>60041.766094067891</v>
      </c>
      <c r="L59" s="393">
        <v>61198.115860344093</v>
      </c>
      <c r="M59" s="393">
        <v>62457.229624871383</v>
      </c>
      <c r="N59" s="394">
        <v>63846.438334102197</v>
      </c>
      <c r="O59" s="252">
        <v>65531.044058275555</v>
      </c>
      <c r="P59" s="252">
        <v>67358.141973516904</v>
      </c>
      <c r="Q59" s="252">
        <v>69262.753568185624</v>
      </c>
      <c r="R59" s="252">
        <v>71238.474479988276</v>
      </c>
      <c r="S59" s="252">
        <v>73252.49361282977</v>
      </c>
      <c r="T59" s="252">
        <v>74952.843104369487</v>
      </c>
      <c r="U59" s="252">
        <v>76829.505856884614</v>
      </c>
      <c r="V59" s="252">
        <v>78460.599856217013</v>
      </c>
      <c r="W59" s="252">
        <v>80085.830546765297</v>
      </c>
      <c r="X59" s="252">
        <v>20103.486715349016</v>
      </c>
      <c r="Y59" s="247"/>
      <c r="Z59" s="247"/>
      <c r="AA59" s="247"/>
    </row>
    <row r="60" spans="1:27" ht="12.75" outlineLevel="1">
      <c r="A60" s="313" t="s">
        <v>420</v>
      </c>
      <c r="B60" s="388">
        <f>NPV(0.1,D60:Y60)</f>
        <v>199536.58435302734</v>
      </c>
      <c r="C60" s="388">
        <f>B60-B50</f>
        <v>-431.17212489710073</v>
      </c>
      <c r="D60" s="392">
        <v>16341.829203741669</v>
      </c>
      <c r="E60" s="393">
        <v>19984.895424449998</v>
      </c>
      <c r="F60" s="393">
        <v>20368.216398000004</v>
      </c>
      <c r="G60" s="393">
        <v>20685.436153967996</v>
      </c>
      <c r="H60" s="393">
        <v>21070.872757991037</v>
      </c>
      <c r="I60" s="393">
        <v>21532.843609405776</v>
      </c>
      <c r="J60" s="393">
        <v>22066.776055591945</v>
      </c>
      <c r="K60" s="393">
        <v>22709.711524264705</v>
      </c>
      <c r="L60" s="393">
        <v>23460.014743304142</v>
      </c>
      <c r="M60" s="393">
        <v>24322.50084161327</v>
      </c>
      <c r="N60" s="394">
        <v>25325.431340398172</v>
      </c>
      <c r="O60" s="252">
        <v>26477.731533067119</v>
      </c>
      <c r="P60" s="252">
        <v>27775.437315948129</v>
      </c>
      <c r="Q60" s="252">
        <v>29154.22405632757</v>
      </c>
      <c r="R60" s="252">
        <v>30608.3778815154</v>
      </c>
      <c r="S60" s="252">
        <v>32105.816403845856</v>
      </c>
      <c r="T60" s="252">
        <v>33660.174829325733</v>
      </c>
      <c r="U60" s="252">
        <v>35419.301886045498</v>
      </c>
      <c r="V60" s="252">
        <v>36963.154274022367</v>
      </c>
      <c r="W60" s="252">
        <v>38533.360864847535</v>
      </c>
      <c r="X60" s="252">
        <v>724.73976022849092</v>
      </c>
      <c r="Y60" s="247"/>
      <c r="Z60" s="247"/>
      <c r="AA60" s="247"/>
    </row>
    <row r="61" spans="1:27" ht="12.75" outlineLevel="1">
      <c r="A61" s="313" t="s">
        <v>35</v>
      </c>
      <c r="B61" s="388">
        <f>NPV(0.1,D61:Y61)</f>
        <v>84089.41920344242</v>
      </c>
      <c r="C61" s="388">
        <f>B61-B51</f>
        <v>0</v>
      </c>
      <c r="D61" s="392">
        <v>-312.93324669094096</v>
      </c>
      <c r="E61" s="393">
        <v>319.37981153411505</v>
      </c>
      <c r="F61" s="393">
        <v>363.66223718925721</v>
      </c>
      <c r="G61" s="393">
        <v>6478.2599095662335</v>
      </c>
      <c r="H61" s="393">
        <v>11401.187409702863</v>
      </c>
      <c r="I61" s="393">
        <v>12306.724069666956</v>
      </c>
      <c r="J61" s="393">
        <v>12885.18330017788</v>
      </c>
      <c r="K61" s="393">
        <v>13299.822113599399</v>
      </c>
      <c r="L61" s="393">
        <v>13795.52639500582</v>
      </c>
      <c r="M61" s="393">
        <v>14312.803899141019</v>
      </c>
      <c r="N61" s="394">
        <v>14853.069863807974</v>
      </c>
      <c r="O61" s="252">
        <v>15443.256283884073</v>
      </c>
      <c r="P61" s="252">
        <v>16136.673232664103</v>
      </c>
      <c r="Q61" s="252">
        <v>16867.333542136486</v>
      </c>
      <c r="R61" s="252">
        <v>17637.878561904352</v>
      </c>
      <c r="S61" s="252">
        <v>18374.131169741744</v>
      </c>
      <c r="T61" s="252">
        <v>19015.637879177353</v>
      </c>
      <c r="U61" s="252">
        <v>19686.248728084887</v>
      </c>
      <c r="V61" s="252">
        <v>20387.97803231742</v>
      </c>
      <c r="W61" s="252">
        <v>20857.575590817149</v>
      </c>
      <c r="X61" s="252">
        <v>0</v>
      </c>
      <c r="Y61" s="247"/>
      <c r="Z61" s="247"/>
      <c r="AA61" s="247"/>
    </row>
    <row r="62" spans="1:27" ht="12.75" outlineLevel="1">
      <c r="A62" s="313" t="s">
        <v>32</v>
      </c>
      <c r="B62" s="388">
        <f>NPV(0.1,D62:Y62)</f>
        <v>100203.6925153997</v>
      </c>
      <c r="C62" s="388">
        <f>B62-B52</f>
        <v>0</v>
      </c>
      <c r="D62" s="395">
        <v>2711.4900096587608</v>
      </c>
      <c r="E62" s="396">
        <v>4331.6790740673514</v>
      </c>
      <c r="F62" s="396">
        <v>4329.7876865768394</v>
      </c>
      <c r="G62" s="396">
        <v>16719.825039624746</v>
      </c>
      <c r="H62" s="396">
        <v>21176.951812368574</v>
      </c>
      <c r="I62" s="396">
        <v>15203.873211193561</v>
      </c>
      <c r="J62" s="396">
        <v>15046.123968444523</v>
      </c>
      <c r="K62" s="396">
        <v>14953.02510106431</v>
      </c>
      <c r="L62" s="396">
        <v>14890.811344477517</v>
      </c>
      <c r="M62" s="396">
        <v>14821.103352349539</v>
      </c>
      <c r="N62" s="397">
        <v>14718.589926760285</v>
      </c>
      <c r="O62" s="252">
        <v>14567.96210929832</v>
      </c>
      <c r="P62" s="252">
        <v>14449.490204593996</v>
      </c>
      <c r="Q62" s="252">
        <v>14316.53589589374</v>
      </c>
      <c r="R62" s="252">
        <v>14143.105398504063</v>
      </c>
      <c r="S62" s="252">
        <v>10794.864188444382</v>
      </c>
      <c r="T62" s="252">
        <v>10050.752071077502</v>
      </c>
      <c r="U62" s="252">
        <v>9711.6211425238725</v>
      </c>
      <c r="V62" s="252">
        <v>9334.35875875487</v>
      </c>
      <c r="W62" s="252">
        <v>15310.940365977251</v>
      </c>
      <c r="X62" s="252">
        <v>0</v>
      </c>
      <c r="Y62" s="247"/>
      <c r="Z62" s="247"/>
      <c r="AA62" s="247"/>
    </row>
    <row r="63" spans="1:27" ht="12.75" outlineLevel="1">
      <c r="A63" s="247"/>
      <c r="B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row>
    <row r="64" spans="1:27" ht="12.75" outlineLevel="1">
      <c r="A64" s="292" t="s">
        <v>447</v>
      </c>
      <c r="B64" s="247"/>
      <c r="D64" s="247"/>
      <c r="E64" s="247"/>
      <c r="F64" s="247"/>
      <c r="G64" s="247"/>
      <c r="H64" s="247"/>
      <c r="I64" s="247"/>
      <c r="J64" s="247"/>
      <c r="K64" s="247"/>
      <c r="L64" s="247"/>
      <c r="M64" s="247"/>
      <c r="N64" s="247"/>
      <c r="O64" s="247"/>
      <c r="P64" s="247"/>
      <c r="Q64" s="247"/>
      <c r="R64" s="247"/>
      <c r="S64" s="247"/>
      <c r="T64" s="247"/>
      <c r="U64" s="247"/>
      <c r="V64" s="247"/>
      <c r="W64" s="247"/>
      <c r="X64" s="247"/>
      <c r="Y64" s="247"/>
      <c r="Z64" s="247"/>
      <c r="AA64" s="247"/>
    </row>
    <row r="65" spans="1:27" ht="12.75" outlineLevel="1">
      <c r="A65" s="333">
        <v>36228</v>
      </c>
      <c r="B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row>
    <row r="66" spans="1:27" ht="12.75" outlineLevel="1">
      <c r="A66" s="308" t="s">
        <v>416</v>
      </c>
      <c r="B66" s="309">
        <v>72972.095006285832</v>
      </c>
      <c r="D66" s="247"/>
      <c r="E66" s="247"/>
      <c r="F66" s="247"/>
      <c r="G66" s="247"/>
      <c r="H66" s="247"/>
      <c r="I66" s="247"/>
      <c r="J66" s="247"/>
      <c r="K66" s="247"/>
      <c r="L66" s="247"/>
      <c r="M66" s="247"/>
      <c r="N66" s="247"/>
      <c r="O66" s="247"/>
      <c r="P66" s="247"/>
      <c r="Q66" s="247"/>
      <c r="R66" s="247"/>
      <c r="S66" s="247"/>
      <c r="T66" s="247"/>
      <c r="U66" s="247"/>
      <c r="V66" s="247"/>
      <c r="W66" s="247"/>
      <c r="X66" s="247"/>
      <c r="Y66" s="247"/>
      <c r="Z66" s="247"/>
      <c r="AA66" s="247"/>
    </row>
    <row r="67" spans="1:27" ht="12.75" outlineLevel="1">
      <c r="A67" s="310" t="s">
        <v>417</v>
      </c>
      <c r="B67" s="311">
        <v>112010.46112267027</v>
      </c>
      <c r="D67" s="247"/>
      <c r="E67" s="247"/>
      <c r="F67" s="247"/>
      <c r="G67" s="247"/>
      <c r="H67" s="247"/>
      <c r="I67" s="247"/>
      <c r="J67" s="247"/>
      <c r="K67" s="247"/>
      <c r="L67" s="247"/>
      <c r="M67" s="247"/>
      <c r="N67" s="247"/>
      <c r="O67" s="247"/>
      <c r="P67" s="247"/>
      <c r="Q67" s="247"/>
      <c r="R67" s="247"/>
      <c r="S67" s="247"/>
      <c r="T67" s="247"/>
      <c r="U67" s="247"/>
      <c r="V67" s="247"/>
      <c r="W67" s="247"/>
      <c r="X67" s="247"/>
      <c r="Y67" s="247"/>
      <c r="Z67" s="247"/>
      <c r="AA67" s="247"/>
    </row>
    <row r="68" spans="1:27" ht="12.75" outlineLevel="1">
      <c r="A68" s="312" t="s">
        <v>418</v>
      </c>
      <c r="B68" s="387" t="s">
        <v>469</v>
      </c>
      <c r="C68" s="387" t="s">
        <v>470</v>
      </c>
      <c r="D68" s="389">
        <v>2000</v>
      </c>
      <c r="E68" s="390">
        <v>2001</v>
      </c>
      <c r="F68" s="390">
        <v>2002</v>
      </c>
      <c r="G68" s="390">
        <v>2003</v>
      </c>
      <c r="H68" s="390">
        <v>2004</v>
      </c>
      <c r="I68" s="390">
        <v>2005</v>
      </c>
      <c r="J68" s="390">
        <v>2006</v>
      </c>
      <c r="K68" s="390">
        <v>2007</v>
      </c>
      <c r="L68" s="390">
        <v>2008</v>
      </c>
      <c r="M68" s="390">
        <v>2009</v>
      </c>
      <c r="N68" s="391">
        <v>2010</v>
      </c>
      <c r="O68" s="248">
        <v>2011</v>
      </c>
      <c r="P68" s="248">
        <v>2012</v>
      </c>
      <c r="Q68" s="248">
        <v>2013</v>
      </c>
      <c r="R68" s="248">
        <v>2014</v>
      </c>
      <c r="S68" s="248">
        <v>2015</v>
      </c>
      <c r="T68" s="248">
        <v>2016</v>
      </c>
      <c r="U68" s="248">
        <v>2017</v>
      </c>
      <c r="V68" s="248">
        <v>2018</v>
      </c>
      <c r="W68" s="248">
        <v>2019</v>
      </c>
      <c r="X68" s="248">
        <v>2020</v>
      </c>
      <c r="Y68" s="247"/>
      <c r="Z68" s="247"/>
      <c r="AA68" s="247"/>
    </row>
    <row r="69" spans="1:27" ht="12.75" outlineLevel="1">
      <c r="A69" s="312" t="s">
        <v>419</v>
      </c>
      <c r="B69" s="388">
        <f>NPV(0.1,D69:Y69)</f>
        <v>466629.9052122772</v>
      </c>
      <c r="C69" s="388">
        <f>B69-B59</f>
        <v>4433.040262921364</v>
      </c>
      <c r="D69" s="392">
        <v>26845.086637075001</v>
      </c>
      <c r="E69" s="393">
        <v>37737.806780450002</v>
      </c>
      <c r="F69" s="393">
        <v>38023.50925268</v>
      </c>
      <c r="G69" s="393">
        <v>48475.22334652835</v>
      </c>
      <c r="H69" s="393">
        <v>57102.570114727445</v>
      </c>
      <c r="I69" s="393">
        <v>58519.803953277529</v>
      </c>
      <c r="J69" s="393">
        <v>59490.761596211072</v>
      </c>
      <c r="K69" s="393">
        <v>60563.472684386565</v>
      </c>
      <c r="L69" s="393">
        <v>61735.473648372325</v>
      </c>
      <c r="M69" s="393">
        <v>63010.708146540463</v>
      </c>
      <c r="N69" s="394">
        <v>64416.52121142135</v>
      </c>
      <c r="O69" s="252">
        <v>66118.229421914293</v>
      </c>
      <c r="P69" s="252">
        <v>67962.942898064794</v>
      </c>
      <c r="Q69" s="252">
        <v>69885.698520469945</v>
      </c>
      <c r="R69" s="252">
        <v>71880.107780841136</v>
      </c>
      <c r="S69" s="252">
        <v>73913.375912708201</v>
      </c>
      <c r="T69" s="252">
        <v>75633.551873244287</v>
      </c>
      <c r="U69" s="252">
        <v>77530.635888825651</v>
      </c>
      <c r="V69" s="252">
        <v>79182.763789116289</v>
      </c>
      <c r="W69" s="252">
        <v>80829.659397651558</v>
      </c>
      <c r="X69" s="252">
        <v>20103.486715349016</v>
      </c>
      <c r="Y69" s="247"/>
      <c r="Z69" s="247"/>
      <c r="AA69" s="247"/>
    </row>
    <row r="70" spans="1:27" ht="12.75" outlineLevel="1">
      <c r="A70" s="313" t="s">
        <v>420</v>
      </c>
      <c r="B70" s="388">
        <f>NPV(0.1,D70:Y70)</f>
        <v>203969.62461594862</v>
      </c>
      <c r="C70" s="388">
        <f>B70-B60</f>
        <v>4433.0402629212767</v>
      </c>
      <c r="D70" s="392">
        <v>16766.024403741667</v>
      </c>
      <c r="E70" s="393">
        <v>20421.816480449997</v>
      </c>
      <c r="F70" s="393">
        <v>20818.245085680002</v>
      </c>
      <c r="G70" s="393">
        <v>21148.965702278394</v>
      </c>
      <c r="H70" s="393">
        <v>21548.308192750752</v>
      </c>
      <c r="I70" s="393">
        <v>22024.602107208273</v>
      </c>
      <c r="J70" s="393">
        <v>22573.287308328523</v>
      </c>
      <c r="K70" s="393">
        <v>23231.418114583383</v>
      </c>
      <c r="L70" s="393">
        <v>23997.372531332378</v>
      </c>
      <c r="M70" s="393">
        <v>24875.979363282349</v>
      </c>
      <c r="N70" s="394">
        <v>25895.514217717326</v>
      </c>
      <c r="O70" s="252">
        <v>27064.91689670585</v>
      </c>
      <c r="P70" s="252">
        <v>28380.238240496023</v>
      </c>
      <c r="Q70" s="252">
        <v>29777.169008611898</v>
      </c>
      <c r="R70" s="252">
        <v>31250.01118236826</v>
      </c>
      <c r="S70" s="252">
        <v>32766.698703724302</v>
      </c>
      <c r="T70" s="252">
        <v>34340.883598200533</v>
      </c>
      <c r="U70" s="252">
        <v>36120.431917986542</v>
      </c>
      <c r="V70" s="252">
        <v>37685.318206921642</v>
      </c>
      <c r="W70" s="252">
        <v>39277.189715733788</v>
      </c>
      <c r="X70" s="252">
        <v>724.73976022849092</v>
      </c>
      <c r="Y70" s="247"/>
      <c r="Z70" s="247"/>
      <c r="AA70" s="247"/>
    </row>
    <row r="71" spans="1:27" ht="12.75" outlineLevel="1">
      <c r="A71" s="313" t="s">
        <v>35</v>
      </c>
      <c r="B71" s="388">
        <f>NPV(0.1,D71:Y71)</f>
        <v>84089.419203442434</v>
      </c>
      <c r="C71" s="388">
        <f>B71-B61</f>
        <v>0</v>
      </c>
      <c r="D71" s="392">
        <v>-312.93324669094045</v>
      </c>
      <c r="E71" s="393">
        <v>319.37981153411943</v>
      </c>
      <c r="F71" s="393">
        <v>363.66223718925499</v>
      </c>
      <c r="G71" s="393">
        <v>6478.2599095662335</v>
      </c>
      <c r="H71" s="393">
        <v>11401.187409702863</v>
      </c>
      <c r="I71" s="393">
        <v>12306.72406966696</v>
      </c>
      <c r="J71" s="393">
        <v>12885.183300177876</v>
      </c>
      <c r="K71" s="393">
        <v>13299.822113599394</v>
      </c>
      <c r="L71" s="393">
        <v>13795.526395005814</v>
      </c>
      <c r="M71" s="393">
        <v>14312.803899141016</v>
      </c>
      <c r="N71" s="394">
        <v>14853.069863807974</v>
      </c>
      <c r="O71" s="252">
        <v>15443.256283884077</v>
      </c>
      <c r="P71" s="252">
        <v>16136.673232664103</v>
      </c>
      <c r="Q71" s="252">
        <v>16867.333542136483</v>
      </c>
      <c r="R71" s="252">
        <v>17637.878561904352</v>
      </c>
      <c r="S71" s="252">
        <v>18374.131169741733</v>
      </c>
      <c r="T71" s="252">
        <v>19015.637879177353</v>
      </c>
      <c r="U71" s="252">
        <v>19686.24872808488</v>
      </c>
      <c r="V71" s="252">
        <v>20387.97803231742</v>
      </c>
      <c r="W71" s="252">
        <v>20857.575590817149</v>
      </c>
      <c r="X71" s="252">
        <v>0</v>
      </c>
      <c r="Y71" s="247"/>
      <c r="Z71" s="247"/>
      <c r="AA71" s="247"/>
    </row>
    <row r="72" spans="1:27" ht="12.75" outlineLevel="1">
      <c r="A72" s="313" t="s">
        <v>32</v>
      </c>
      <c r="B72" s="388">
        <f>NPV(0.1,D72:Y72)</f>
        <v>100203.69251539969</v>
      </c>
      <c r="C72" s="388">
        <f>B72-B62</f>
        <v>0</v>
      </c>
      <c r="D72" s="395">
        <v>2711.4900096587608</v>
      </c>
      <c r="E72" s="396">
        <v>4331.6790740673532</v>
      </c>
      <c r="F72" s="396">
        <v>4329.7876865768394</v>
      </c>
      <c r="G72" s="396">
        <v>16719.825039624746</v>
      </c>
      <c r="H72" s="396">
        <v>21176.951812368574</v>
      </c>
      <c r="I72" s="396">
        <v>15203.873211193568</v>
      </c>
      <c r="J72" s="396">
        <v>15046.123968444517</v>
      </c>
      <c r="K72" s="396">
        <v>14953.025101064302</v>
      </c>
      <c r="L72" s="396">
        <v>14890.811344477519</v>
      </c>
      <c r="M72" s="396">
        <v>14821.103352349541</v>
      </c>
      <c r="N72" s="397">
        <v>14718.589926760289</v>
      </c>
      <c r="O72" s="252">
        <v>14567.962109298323</v>
      </c>
      <c r="P72" s="252">
        <v>14449.490204593993</v>
      </c>
      <c r="Q72" s="252">
        <v>14316.53589589374</v>
      </c>
      <c r="R72" s="252">
        <v>14143.105398504067</v>
      </c>
      <c r="S72" s="252">
        <v>10794.86418844438</v>
      </c>
      <c r="T72" s="252">
        <v>10050.752071077506</v>
      </c>
      <c r="U72" s="252">
        <v>9711.6211425238744</v>
      </c>
      <c r="V72" s="252">
        <v>9334.3587587548736</v>
      </c>
      <c r="W72" s="252">
        <v>15310.940365977262</v>
      </c>
      <c r="X72" s="252">
        <v>0</v>
      </c>
      <c r="Y72" s="247"/>
      <c r="Z72" s="247"/>
      <c r="AA72" s="247"/>
    </row>
    <row r="73" spans="1:27" ht="12.75" outlineLevel="1">
      <c r="A73" s="247"/>
      <c r="B73" s="247"/>
      <c r="D73" s="247"/>
      <c r="E73" s="247"/>
      <c r="F73" s="247"/>
      <c r="G73" s="247"/>
      <c r="H73" s="247"/>
      <c r="I73" s="247"/>
      <c r="J73" s="247"/>
      <c r="K73" s="247"/>
      <c r="L73" s="247"/>
      <c r="M73" s="247"/>
      <c r="N73" s="247"/>
      <c r="O73" s="247"/>
      <c r="P73" s="247"/>
      <c r="Q73" s="247"/>
      <c r="R73" s="247"/>
      <c r="S73" s="247"/>
      <c r="T73" s="247"/>
      <c r="U73" s="247"/>
      <c r="V73" s="247"/>
      <c r="W73" s="247"/>
      <c r="X73" s="247"/>
      <c r="Y73" s="247"/>
      <c r="Z73" s="247"/>
      <c r="AA73" s="247"/>
    </row>
    <row r="74" spans="1:27" ht="12.75" outlineLevel="1">
      <c r="A74" s="292" t="s">
        <v>460</v>
      </c>
      <c r="B74" s="247"/>
      <c r="D74" s="247"/>
      <c r="E74" s="247"/>
      <c r="F74" s="247"/>
      <c r="G74" s="247"/>
      <c r="H74" s="247"/>
      <c r="I74" s="247"/>
      <c r="J74" s="247"/>
      <c r="K74" s="247"/>
      <c r="L74" s="247"/>
      <c r="M74" s="247"/>
      <c r="N74" s="247"/>
      <c r="O74" s="247"/>
      <c r="P74" s="247"/>
      <c r="Q74" s="247"/>
      <c r="R74" s="247"/>
      <c r="S74" s="247"/>
      <c r="T74" s="247"/>
      <c r="U74" s="247"/>
      <c r="V74" s="247"/>
      <c r="W74" s="247"/>
      <c r="X74" s="247"/>
      <c r="Y74" s="247"/>
      <c r="Z74" s="247"/>
      <c r="AA74" s="247"/>
    </row>
    <row r="75" spans="1:27" ht="12.75" outlineLevel="1">
      <c r="A75" s="333">
        <v>36234</v>
      </c>
      <c r="B75" s="247"/>
      <c r="D75" s="247"/>
      <c r="E75" s="247"/>
      <c r="F75" s="247"/>
      <c r="G75" s="247"/>
      <c r="H75" s="247"/>
      <c r="I75" s="247"/>
      <c r="J75" s="247"/>
      <c r="K75" s="247"/>
      <c r="L75" s="247"/>
      <c r="M75" s="247"/>
      <c r="N75" s="247"/>
      <c r="O75" s="247"/>
      <c r="P75" s="247"/>
      <c r="Q75" s="247"/>
      <c r="R75" s="247"/>
      <c r="S75" s="247"/>
      <c r="T75" s="247"/>
      <c r="U75" s="247"/>
      <c r="V75" s="247"/>
      <c r="W75" s="247"/>
      <c r="X75" s="247"/>
      <c r="Y75" s="247"/>
      <c r="Z75" s="247"/>
      <c r="AA75" s="247"/>
    </row>
    <row r="76" spans="1:27" ht="12.75" outlineLevel="1">
      <c r="A76" s="308" t="s">
        <v>416</v>
      </c>
      <c r="B76" s="309">
        <v>73410.789812931485</v>
      </c>
      <c r="D76" s="247"/>
      <c r="E76" s="247"/>
      <c r="F76" s="247"/>
      <c r="G76" s="247"/>
      <c r="H76" s="247"/>
      <c r="I76" s="247"/>
      <c r="J76" s="247"/>
      <c r="K76" s="247"/>
      <c r="L76" s="247"/>
      <c r="M76" s="247"/>
      <c r="N76" s="247"/>
      <c r="O76" s="247"/>
      <c r="P76" s="247"/>
      <c r="Q76" s="247"/>
      <c r="R76" s="247"/>
      <c r="S76" s="247"/>
      <c r="T76" s="247"/>
      <c r="U76" s="247"/>
      <c r="V76" s="247"/>
      <c r="W76" s="247"/>
      <c r="X76" s="247"/>
      <c r="Y76" s="247"/>
      <c r="Z76" s="247"/>
      <c r="AA76" s="247"/>
    </row>
    <row r="77" spans="1:27" ht="12.75" outlineLevel="1">
      <c r="A77" s="310" t="s">
        <v>417</v>
      </c>
      <c r="B77" s="311">
        <v>112010.46112267027</v>
      </c>
      <c r="D77" s="247"/>
      <c r="E77" s="247"/>
      <c r="F77" s="247"/>
      <c r="G77" s="247"/>
      <c r="H77" s="247"/>
      <c r="I77" s="247"/>
      <c r="J77" s="247"/>
      <c r="K77" s="247"/>
      <c r="L77" s="247"/>
      <c r="M77" s="247"/>
      <c r="N77" s="247"/>
      <c r="O77" s="247"/>
      <c r="P77" s="247"/>
      <c r="Q77" s="247"/>
      <c r="R77" s="247"/>
      <c r="S77" s="247"/>
      <c r="T77" s="247"/>
      <c r="U77" s="247"/>
      <c r="V77" s="247"/>
      <c r="W77" s="247"/>
      <c r="X77" s="247"/>
      <c r="Y77" s="247"/>
      <c r="Z77" s="247"/>
      <c r="AA77" s="247"/>
    </row>
    <row r="78" spans="1:27" ht="12.75" outlineLevel="1">
      <c r="A78" s="312" t="s">
        <v>418</v>
      </c>
      <c r="B78" s="387" t="s">
        <v>469</v>
      </c>
      <c r="C78" s="387" t="s">
        <v>470</v>
      </c>
      <c r="D78" s="389">
        <v>2000</v>
      </c>
      <c r="E78" s="390">
        <v>2001</v>
      </c>
      <c r="F78" s="390">
        <v>2002</v>
      </c>
      <c r="G78" s="390">
        <v>2003</v>
      </c>
      <c r="H78" s="390">
        <v>2004</v>
      </c>
      <c r="I78" s="390">
        <v>2005</v>
      </c>
      <c r="J78" s="390">
        <v>2006</v>
      </c>
      <c r="K78" s="390">
        <v>2007</v>
      </c>
      <c r="L78" s="390">
        <v>2008</v>
      </c>
      <c r="M78" s="390">
        <v>2009</v>
      </c>
      <c r="N78" s="391">
        <v>2010</v>
      </c>
      <c r="O78" s="248">
        <v>2011</v>
      </c>
      <c r="P78" s="248">
        <v>2012</v>
      </c>
      <c r="Q78" s="248">
        <v>2013</v>
      </c>
      <c r="R78" s="248">
        <v>2014</v>
      </c>
      <c r="S78" s="248">
        <v>2015</v>
      </c>
      <c r="T78" s="248">
        <v>2016</v>
      </c>
      <c r="U78" s="248">
        <v>2017</v>
      </c>
      <c r="V78" s="248">
        <v>2018</v>
      </c>
      <c r="W78" s="248">
        <v>2019</v>
      </c>
      <c r="X78" s="248">
        <v>2020</v>
      </c>
      <c r="Y78" s="247"/>
      <c r="Z78" s="247"/>
      <c r="AA78" s="247"/>
    </row>
    <row r="79" spans="1:27" ht="12.75">
      <c r="A79" s="312" t="s">
        <v>419</v>
      </c>
      <c r="B79" s="388">
        <f>NPV(0.1,D79:Y79)</f>
        <v>466699.24186369014</v>
      </c>
      <c r="C79" s="388">
        <f>B79-B69</f>
        <v>69.336651412944775</v>
      </c>
      <c r="D79" s="392">
        <v>26849.716706891726</v>
      </c>
      <c r="E79" s="393">
        <v>37744.892368185654</v>
      </c>
      <c r="F79" s="393">
        <v>38030.798191367736</v>
      </c>
      <c r="G79" s="393">
        <v>48482.721736696723</v>
      </c>
      <c r="H79" s="393">
        <v>57110.284239920875</v>
      </c>
      <c r="I79" s="393">
        <v>58527.740285546759</v>
      </c>
      <c r="J79" s="393">
        <v>59498.926801768393</v>
      </c>
      <c r="K79" s="393">
        <v>60571.8736294306</v>
      </c>
      <c r="L79" s="393">
        <v>61744.117405087687</v>
      </c>
      <c r="M79" s="393">
        <v>63019.601999277293</v>
      </c>
      <c r="N79" s="394">
        <v>64425.672663060293</v>
      </c>
      <c r="O79" s="252">
        <v>66127.646200422401</v>
      </c>
      <c r="P79" s="252">
        <v>67972.63296324815</v>
      </c>
      <c r="Q79" s="252">
        <v>69895.670070928812</v>
      </c>
      <c r="R79" s="252">
        <v>71890.369261133776</v>
      </c>
      <c r="S79" s="252">
        <v>73923.936020729627</v>
      </c>
      <c r="T79" s="252">
        <v>75644.41956782635</v>
      </c>
      <c r="U79" s="252">
        <v>77541.820397565185</v>
      </c>
      <c r="V79" s="252">
        <v>79194.274616438008</v>
      </c>
      <c r="W79" s="252">
        <v>80841.506333112935</v>
      </c>
      <c r="X79" s="252">
        <v>20103.486715349016</v>
      </c>
      <c r="Y79" s="247"/>
      <c r="Z79" s="247"/>
      <c r="AA79" s="247"/>
    </row>
    <row r="80" spans="1:27" ht="12.75">
      <c r="A80" s="313" t="s">
        <v>420</v>
      </c>
      <c r="B80" s="388">
        <f>NPV(0.1,D80:Y80)</f>
        <v>204038.96126736159</v>
      </c>
      <c r="C80" s="388">
        <f>B80-B70</f>
        <v>69.336651412973879</v>
      </c>
      <c r="D80" s="392">
        <v>16770.654473558396</v>
      </c>
      <c r="E80" s="393">
        <v>20428.902068185656</v>
      </c>
      <c r="F80" s="393">
        <v>20825.534024367735</v>
      </c>
      <c r="G80" s="393">
        <v>21156.464092446768</v>
      </c>
      <c r="H80" s="393">
        <v>21556.022317944175</v>
      </c>
      <c r="I80" s="393">
        <v>22032.53843947751</v>
      </c>
      <c r="J80" s="393">
        <v>22581.452513885837</v>
      </c>
      <c r="K80" s="393">
        <v>23239.819059627418</v>
      </c>
      <c r="L80" s="393">
        <v>24006.01628804774</v>
      </c>
      <c r="M80" s="393">
        <v>24884.873216019187</v>
      </c>
      <c r="N80" s="394">
        <v>25904.665669356269</v>
      </c>
      <c r="O80" s="252">
        <v>27074.333675213958</v>
      </c>
      <c r="P80" s="252">
        <v>28389.928305679383</v>
      </c>
      <c r="Q80" s="252">
        <v>29787.140559070765</v>
      </c>
      <c r="R80" s="252">
        <v>31260.2726626609</v>
      </c>
      <c r="S80" s="252">
        <v>32777.25881174572</v>
      </c>
      <c r="T80" s="252">
        <v>34351.751292782603</v>
      </c>
      <c r="U80" s="252">
        <v>36131.616426726076</v>
      </c>
      <c r="V80" s="252">
        <v>37696.829034243361</v>
      </c>
      <c r="W80" s="252">
        <v>39289.03665119518</v>
      </c>
      <c r="X80" s="252">
        <v>724.73976022849092</v>
      </c>
      <c r="Y80" s="247"/>
      <c r="Z80" s="247"/>
      <c r="AA80" s="247"/>
    </row>
    <row r="81" spans="1:27" ht="12.75">
      <c r="A81" s="313" t="s">
        <v>35</v>
      </c>
      <c r="B81" s="388">
        <f>NPV(0.1,D81:Y81)</f>
        <v>84089.41920344242</v>
      </c>
      <c r="C81" s="388">
        <f>B81-B71</f>
        <v>0</v>
      </c>
      <c r="D81" s="392">
        <v>-312.93324669094312</v>
      </c>
      <c r="E81" s="393">
        <v>319.37981153411505</v>
      </c>
      <c r="F81" s="393">
        <v>363.66223718925721</v>
      </c>
      <c r="G81" s="393">
        <v>6478.2599095662335</v>
      </c>
      <c r="H81" s="393">
        <v>11401.187409702867</v>
      </c>
      <c r="I81" s="393">
        <v>12306.724069666956</v>
      </c>
      <c r="J81" s="393">
        <v>12885.18330017788</v>
      </c>
      <c r="K81" s="393">
        <v>13299.822113599394</v>
      </c>
      <c r="L81" s="393">
        <v>13795.526395005814</v>
      </c>
      <c r="M81" s="393">
        <v>14312.803899141012</v>
      </c>
      <c r="N81" s="394">
        <v>14853.069863807974</v>
      </c>
      <c r="O81" s="252">
        <v>15443.256283884075</v>
      </c>
      <c r="P81" s="252">
        <v>16136.673232664101</v>
      </c>
      <c r="Q81" s="252">
        <v>16867.333542136479</v>
      </c>
      <c r="R81" s="252">
        <v>17637.878561904348</v>
      </c>
      <c r="S81" s="252">
        <v>18374.131169741737</v>
      </c>
      <c r="T81" s="252">
        <v>19015.637879177346</v>
      </c>
      <c r="U81" s="252">
        <v>19686.248728084876</v>
      </c>
      <c r="V81" s="252">
        <v>20387.97803231742</v>
      </c>
      <c r="W81" s="252">
        <v>20857.575590817138</v>
      </c>
      <c r="X81" s="252">
        <v>0</v>
      </c>
      <c r="Y81" s="247"/>
      <c r="Z81" s="247"/>
      <c r="AA81" s="247"/>
    </row>
    <row r="82" spans="1:27" ht="12.75">
      <c r="A82" s="313" t="s">
        <v>32</v>
      </c>
      <c r="B82" s="388">
        <f>NPV(0.1,D82:Y82)</f>
        <v>100744.72258026247</v>
      </c>
      <c r="C82" s="388">
        <f>B82-B72</f>
        <v>541.030064862789</v>
      </c>
      <c r="D82" s="395">
        <v>2386.4900096587608</v>
      </c>
      <c r="E82" s="396">
        <v>4005.5244162951249</v>
      </c>
      <c r="F82" s="396">
        <v>4015.7451295819828</v>
      </c>
      <c r="G82" s="396">
        <v>16417.982956295338</v>
      </c>
      <c r="H82" s="396">
        <v>21400.803878109611</v>
      </c>
      <c r="I82" s="396">
        <v>17560.876394825642</v>
      </c>
      <c r="J82" s="396">
        <v>15061.829844518459</v>
      </c>
      <c r="K82" s="396">
        <v>14969.665262827137</v>
      </c>
      <c r="L82" s="396">
        <v>14908.403628337986</v>
      </c>
      <c r="M82" s="396">
        <v>14839.650700836979</v>
      </c>
      <c r="N82" s="397">
        <v>14738.110202306725</v>
      </c>
      <c r="O82" s="252">
        <v>14588.458280488961</v>
      </c>
      <c r="P82" s="252">
        <v>14470.980159949366</v>
      </c>
      <c r="Q82" s="252">
        <v>14339.022630120244</v>
      </c>
      <c r="R82" s="252">
        <v>14166.606826276104</v>
      </c>
      <c r="S82" s="252">
        <v>10819.383330654999</v>
      </c>
      <c r="T82" s="252">
        <v>10072.451026398892</v>
      </c>
      <c r="U82" s="252">
        <v>9729.9536871542896</v>
      </c>
      <c r="V82" s="252">
        <v>9349.3298848559243</v>
      </c>
      <c r="W82" s="252">
        <v>15322.555071962666</v>
      </c>
      <c r="X82" s="252">
        <v>0</v>
      </c>
      <c r="Y82" s="247"/>
      <c r="Z82" s="247"/>
      <c r="AA82" s="247"/>
    </row>
    <row r="83" spans="1:27" ht="12.75">
      <c r="A83" s="247"/>
      <c r="B83" s="247"/>
      <c r="D83" s="247"/>
      <c r="E83" s="247"/>
      <c r="F83" s="247"/>
      <c r="G83" s="247"/>
      <c r="H83" s="247"/>
      <c r="I83" s="247"/>
      <c r="J83" s="247"/>
      <c r="K83" s="247"/>
      <c r="L83" s="247"/>
      <c r="M83" s="247"/>
      <c r="N83" s="247"/>
      <c r="O83" s="247"/>
      <c r="P83" s="247"/>
      <c r="Q83" s="247"/>
      <c r="R83" s="247"/>
      <c r="S83" s="247"/>
      <c r="T83" s="247"/>
      <c r="U83" s="247"/>
      <c r="V83" s="247"/>
      <c r="W83" s="247"/>
      <c r="X83" s="247"/>
      <c r="Y83" s="247"/>
      <c r="Z83" s="247"/>
      <c r="AA83" s="247"/>
    </row>
    <row r="84" spans="1:27" ht="12.75">
      <c r="A84" s="292" t="s">
        <v>464</v>
      </c>
      <c r="B84" s="247"/>
      <c r="D84" s="247"/>
      <c r="E84" s="247"/>
      <c r="F84" s="247"/>
      <c r="G84" s="247"/>
      <c r="H84" s="247"/>
      <c r="I84" s="247"/>
      <c r="J84" s="247"/>
      <c r="K84" s="247"/>
      <c r="L84" s="247"/>
      <c r="M84" s="247"/>
      <c r="N84" s="247"/>
      <c r="O84" s="247"/>
      <c r="P84" s="247"/>
      <c r="Q84" s="247"/>
      <c r="R84" s="247"/>
      <c r="S84" s="247"/>
      <c r="T84" s="247"/>
      <c r="U84" s="247"/>
      <c r="V84" s="247"/>
      <c r="W84" s="247"/>
      <c r="X84" s="247"/>
      <c r="Y84" s="247"/>
      <c r="Z84" s="247"/>
      <c r="AA84" s="247"/>
    </row>
    <row r="85" spans="1:27" ht="12.75">
      <c r="A85" s="333">
        <v>36234</v>
      </c>
      <c r="B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c r="AA85" s="247"/>
    </row>
    <row r="86" spans="1:27" ht="12.75">
      <c r="A86" s="308" t="s">
        <v>416</v>
      </c>
      <c r="B86" s="309">
        <v>72931.887716104451</v>
      </c>
      <c r="D86" s="247"/>
      <c r="E86" s="247"/>
      <c r="F86" s="247"/>
      <c r="G86" s="247"/>
      <c r="H86" s="247"/>
      <c r="I86" s="247"/>
      <c r="J86" s="247"/>
      <c r="K86" s="247"/>
      <c r="L86" s="247"/>
      <c r="M86" s="247"/>
      <c r="N86" s="247"/>
      <c r="O86" s="247"/>
      <c r="P86" s="247"/>
      <c r="Q86" s="247"/>
      <c r="R86" s="247"/>
      <c r="S86" s="247"/>
      <c r="T86" s="247"/>
      <c r="U86" s="247"/>
      <c r="V86" s="247"/>
      <c r="W86" s="247"/>
      <c r="X86" s="247"/>
      <c r="Y86" s="247"/>
      <c r="Z86" s="247"/>
      <c r="AA86" s="247"/>
    </row>
    <row r="87" spans="1:27" ht="12.75">
      <c r="A87" s="310" t="s">
        <v>417</v>
      </c>
      <c r="B87" s="311">
        <v>112010.46112267027</v>
      </c>
      <c r="D87" s="247"/>
      <c r="E87" s="247"/>
      <c r="F87" s="247"/>
      <c r="G87" s="247"/>
      <c r="H87" s="247"/>
      <c r="I87" s="247"/>
      <c r="J87" s="247"/>
      <c r="K87" s="247"/>
      <c r="L87" s="247"/>
      <c r="M87" s="247"/>
      <c r="N87" s="247"/>
      <c r="O87" s="247"/>
      <c r="P87" s="247"/>
      <c r="Q87" s="247"/>
      <c r="R87" s="247"/>
      <c r="S87" s="247"/>
      <c r="T87" s="247"/>
      <c r="U87" s="247"/>
      <c r="V87" s="247"/>
      <c r="W87" s="247"/>
      <c r="X87" s="247"/>
      <c r="Y87" s="247"/>
      <c r="Z87" s="247"/>
      <c r="AA87" s="247"/>
    </row>
    <row r="88" spans="1:27" ht="12.75">
      <c r="A88" s="312" t="s">
        <v>418</v>
      </c>
      <c r="B88" s="387" t="s">
        <v>469</v>
      </c>
      <c r="C88" s="387" t="s">
        <v>470</v>
      </c>
      <c r="D88" s="389">
        <v>2000</v>
      </c>
      <c r="E88" s="390">
        <v>2001</v>
      </c>
      <c r="F88" s="390">
        <v>2002</v>
      </c>
      <c r="G88" s="390">
        <v>2003</v>
      </c>
      <c r="H88" s="390">
        <v>2004</v>
      </c>
      <c r="I88" s="390">
        <v>2005</v>
      </c>
      <c r="J88" s="390">
        <v>2006</v>
      </c>
      <c r="K88" s="390">
        <v>2007</v>
      </c>
      <c r="L88" s="390">
        <v>2008</v>
      </c>
      <c r="M88" s="390">
        <v>2009</v>
      </c>
      <c r="N88" s="391">
        <v>2010</v>
      </c>
      <c r="O88" s="248">
        <v>2011</v>
      </c>
      <c r="P88" s="248">
        <v>2012</v>
      </c>
      <c r="Q88" s="248">
        <v>2013</v>
      </c>
      <c r="R88" s="248">
        <v>2014</v>
      </c>
      <c r="S88" s="248">
        <v>2015</v>
      </c>
      <c r="T88" s="248">
        <v>2016</v>
      </c>
      <c r="U88" s="248">
        <v>2017</v>
      </c>
      <c r="V88" s="248">
        <v>2018</v>
      </c>
      <c r="W88" s="248">
        <v>2019</v>
      </c>
      <c r="X88" s="248">
        <v>2020</v>
      </c>
      <c r="Y88" s="247"/>
      <c r="Z88" s="247"/>
      <c r="AA88" s="247"/>
    </row>
    <row r="89" spans="1:27" ht="12.75">
      <c r="A89" s="312" t="s">
        <v>419</v>
      </c>
      <c r="B89" s="388">
        <f>NPV(0.1,D89:Y89)</f>
        <v>466699.24186369014</v>
      </c>
      <c r="C89" s="388">
        <f>B89-B79</f>
        <v>0</v>
      </c>
      <c r="D89" s="392">
        <v>26849.716706891726</v>
      </c>
      <c r="E89" s="393">
        <v>37744.892368185654</v>
      </c>
      <c r="F89" s="393">
        <v>38030.798191367736</v>
      </c>
      <c r="G89" s="393">
        <v>48482.721736696723</v>
      </c>
      <c r="H89" s="393">
        <v>57110.284239920875</v>
      </c>
      <c r="I89" s="393">
        <v>58527.740285546759</v>
      </c>
      <c r="J89" s="393">
        <v>59498.926801768393</v>
      </c>
      <c r="K89" s="393">
        <v>60571.8736294306</v>
      </c>
      <c r="L89" s="393">
        <v>61744.117405087687</v>
      </c>
      <c r="M89" s="393">
        <v>63019.601999277293</v>
      </c>
      <c r="N89" s="394">
        <v>64425.672663060293</v>
      </c>
      <c r="O89" s="252">
        <v>66127.646200422401</v>
      </c>
      <c r="P89" s="252">
        <v>67972.63296324815</v>
      </c>
      <c r="Q89" s="252">
        <v>69895.670070928812</v>
      </c>
      <c r="R89" s="252">
        <v>71890.369261133776</v>
      </c>
      <c r="S89" s="252">
        <v>73923.936020729627</v>
      </c>
      <c r="T89" s="252">
        <v>75644.41956782635</v>
      </c>
      <c r="U89" s="252">
        <v>77541.820397565185</v>
      </c>
      <c r="V89" s="252">
        <v>79194.274616438008</v>
      </c>
      <c r="W89" s="252">
        <v>80841.506333112935</v>
      </c>
      <c r="X89" s="252">
        <v>20103.486715349016</v>
      </c>
      <c r="Y89" s="247"/>
      <c r="Z89" s="247"/>
      <c r="AA89" s="247"/>
    </row>
    <row r="90" spans="1:27" ht="12.75">
      <c r="A90" s="313" t="s">
        <v>420</v>
      </c>
      <c r="B90" s="388">
        <f>NPV(0.1,D90:Y90)</f>
        <v>204038.96126736159</v>
      </c>
      <c r="C90" s="388">
        <f>B90-B80</f>
        <v>0</v>
      </c>
      <c r="D90" s="392">
        <v>16770.654473558396</v>
      </c>
      <c r="E90" s="393">
        <v>20428.902068185656</v>
      </c>
      <c r="F90" s="393">
        <v>20825.534024367735</v>
      </c>
      <c r="G90" s="393">
        <v>21156.464092446768</v>
      </c>
      <c r="H90" s="393">
        <v>21556.022317944175</v>
      </c>
      <c r="I90" s="393">
        <v>22032.53843947751</v>
      </c>
      <c r="J90" s="393">
        <v>22581.452513885837</v>
      </c>
      <c r="K90" s="393">
        <v>23239.819059627418</v>
      </c>
      <c r="L90" s="393">
        <v>24006.01628804774</v>
      </c>
      <c r="M90" s="393">
        <v>24884.873216019187</v>
      </c>
      <c r="N90" s="394">
        <v>25904.665669356269</v>
      </c>
      <c r="O90" s="252">
        <v>27074.333675213958</v>
      </c>
      <c r="P90" s="252">
        <v>28389.928305679383</v>
      </c>
      <c r="Q90" s="252">
        <v>29787.140559070765</v>
      </c>
      <c r="R90" s="252">
        <v>31260.2726626609</v>
      </c>
      <c r="S90" s="252">
        <v>32777.25881174572</v>
      </c>
      <c r="T90" s="252">
        <v>34351.751292782603</v>
      </c>
      <c r="U90" s="252">
        <v>36131.616426726076</v>
      </c>
      <c r="V90" s="252">
        <v>37696.829034243361</v>
      </c>
      <c r="W90" s="252">
        <v>39289.03665119518</v>
      </c>
      <c r="X90" s="252">
        <v>724.73976022849092</v>
      </c>
      <c r="Y90" s="247"/>
      <c r="Z90" s="247"/>
      <c r="AA90" s="247"/>
    </row>
    <row r="91" spans="1:27" ht="12.75">
      <c r="A91" s="313" t="s">
        <v>35</v>
      </c>
      <c r="B91" s="388">
        <f>NPV(0.1,D91:Y91)</f>
        <v>84089.41920344242</v>
      </c>
      <c r="C91" s="388">
        <f>B91-B81</f>
        <v>0</v>
      </c>
      <c r="D91" s="392">
        <v>-312.93324669094312</v>
      </c>
      <c r="E91" s="393">
        <v>319.37981153411505</v>
      </c>
      <c r="F91" s="393">
        <v>363.66223718925721</v>
      </c>
      <c r="G91" s="393">
        <v>6478.2599095662335</v>
      </c>
      <c r="H91" s="393">
        <v>11401.187409702867</v>
      </c>
      <c r="I91" s="393">
        <v>12306.724069666956</v>
      </c>
      <c r="J91" s="393">
        <v>12885.18330017788</v>
      </c>
      <c r="K91" s="393">
        <v>13299.822113599394</v>
      </c>
      <c r="L91" s="393">
        <v>13795.526395005814</v>
      </c>
      <c r="M91" s="393">
        <v>14312.803899141012</v>
      </c>
      <c r="N91" s="394">
        <v>14853.069863807974</v>
      </c>
      <c r="O91" s="252">
        <v>15443.256283884075</v>
      </c>
      <c r="P91" s="252">
        <v>16136.673232664101</v>
      </c>
      <c r="Q91" s="252">
        <v>16867.333542136479</v>
      </c>
      <c r="R91" s="252">
        <v>17637.878561904348</v>
      </c>
      <c r="S91" s="252">
        <v>18374.131169741737</v>
      </c>
      <c r="T91" s="252">
        <v>19015.637879177346</v>
      </c>
      <c r="U91" s="252">
        <v>19686.248728084876</v>
      </c>
      <c r="V91" s="252">
        <v>20387.97803231742</v>
      </c>
      <c r="W91" s="252">
        <v>20857.575590817138</v>
      </c>
      <c r="X91" s="252">
        <v>0</v>
      </c>
      <c r="Y91" s="247"/>
      <c r="Z91" s="247"/>
      <c r="AA91" s="247"/>
    </row>
    <row r="92" spans="1:27" ht="12.75">
      <c r="A92" s="313" t="s">
        <v>32</v>
      </c>
      <c r="B92" s="388">
        <f>NPV(0.1,D92:Y92)</f>
        <v>100282.48917190182</v>
      </c>
      <c r="C92" s="388">
        <f>B92-B82</f>
        <v>-462.23340836065472</v>
      </c>
      <c r="D92" s="395">
        <v>2386.4900096587608</v>
      </c>
      <c r="E92" s="396">
        <v>4005.5244162951249</v>
      </c>
      <c r="F92" s="396">
        <v>4015.7451295819828</v>
      </c>
      <c r="G92" s="396">
        <v>16417.982956295338</v>
      </c>
      <c r="H92" s="396">
        <v>21400.803878109611</v>
      </c>
      <c r="I92" s="396">
        <v>16244.796481170564</v>
      </c>
      <c r="J92" s="396">
        <v>15060.181602485598</v>
      </c>
      <c r="K92" s="396">
        <v>14968.014956556555</v>
      </c>
      <c r="L92" s="396">
        <v>14906.75125524446</v>
      </c>
      <c r="M92" s="396">
        <v>14837.996258332045</v>
      </c>
      <c r="N92" s="397">
        <v>14736.453687798679</v>
      </c>
      <c r="O92" s="252">
        <v>14586.799691382852</v>
      </c>
      <c r="P92" s="252">
        <v>14469.319493646992</v>
      </c>
      <c r="Q92" s="252">
        <v>14337.359884020152</v>
      </c>
      <c r="R92" s="252">
        <v>14164.94199777358</v>
      </c>
      <c r="S92" s="252">
        <v>12133.796330797148</v>
      </c>
      <c r="T92" s="252">
        <v>10072.430267297177</v>
      </c>
      <c r="U92" s="252">
        <v>9729.9329020541354</v>
      </c>
      <c r="V92" s="252">
        <v>9349.3090737247694</v>
      </c>
      <c r="W92" s="252">
        <v>15322.534234767912</v>
      </c>
      <c r="X92" s="252">
        <v>0</v>
      </c>
      <c r="Y92" s="247"/>
      <c r="Z92" s="247"/>
      <c r="AA92" s="247"/>
    </row>
    <row r="93" spans="1:27" ht="12.75">
      <c r="A93" s="247"/>
      <c r="B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c r="AA93" s="247"/>
    </row>
    <row r="94" spans="1:27" ht="12.75">
      <c r="A94" s="292" t="s">
        <v>467</v>
      </c>
      <c r="B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row>
    <row r="95" spans="1:27" ht="12.75">
      <c r="A95" s="333">
        <v>36234</v>
      </c>
      <c r="B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row>
    <row r="96" spans="1:27" ht="12.75">
      <c r="A96" s="308" t="s">
        <v>416</v>
      </c>
      <c r="B96" s="309">
        <v>72691.780650499844</v>
      </c>
      <c r="D96" s="247"/>
      <c r="E96" s="247"/>
      <c r="F96" s="247"/>
      <c r="G96" s="247"/>
      <c r="H96" s="247"/>
      <c r="I96" s="247"/>
      <c r="J96" s="247"/>
      <c r="K96" s="247"/>
      <c r="L96" s="247"/>
      <c r="M96" s="247"/>
      <c r="N96" s="247"/>
      <c r="O96" s="247"/>
      <c r="P96" s="247"/>
      <c r="Q96" s="247"/>
      <c r="R96" s="247"/>
      <c r="S96" s="247"/>
      <c r="T96" s="247"/>
      <c r="U96" s="247"/>
      <c r="V96" s="247"/>
      <c r="W96" s="247"/>
      <c r="X96" s="247"/>
      <c r="Y96" s="247"/>
      <c r="Z96" s="247"/>
      <c r="AA96" s="247"/>
    </row>
    <row r="97" spans="1:27" ht="12.75">
      <c r="A97" s="310" t="s">
        <v>417</v>
      </c>
      <c r="B97" s="311">
        <v>111696.10497960886</v>
      </c>
      <c r="D97" s="247"/>
      <c r="E97" s="247"/>
      <c r="F97" s="247"/>
      <c r="G97" s="247"/>
      <c r="H97" s="247"/>
      <c r="I97" s="247"/>
      <c r="J97" s="247"/>
      <c r="K97" s="247"/>
      <c r="L97" s="247"/>
      <c r="M97" s="247"/>
      <c r="N97" s="247"/>
      <c r="O97" s="247"/>
      <c r="P97" s="247"/>
      <c r="Q97" s="247"/>
      <c r="R97" s="247"/>
      <c r="S97" s="247"/>
      <c r="T97" s="247"/>
      <c r="U97" s="247"/>
      <c r="V97" s="247"/>
      <c r="W97" s="247"/>
      <c r="X97" s="247"/>
      <c r="Y97" s="247"/>
      <c r="Z97" s="247"/>
      <c r="AA97" s="247"/>
    </row>
    <row r="98" spans="1:27" ht="12.75">
      <c r="A98" s="312" t="s">
        <v>418</v>
      </c>
      <c r="B98" s="387" t="s">
        <v>469</v>
      </c>
      <c r="C98" s="387" t="s">
        <v>470</v>
      </c>
      <c r="D98" s="389">
        <v>2000</v>
      </c>
      <c r="E98" s="390">
        <v>2001</v>
      </c>
      <c r="F98" s="390">
        <v>2002</v>
      </c>
      <c r="G98" s="390">
        <v>2003</v>
      </c>
      <c r="H98" s="390">
        <v>2004</v>
      </c>
      <c r="I98" s="390">
        <v>2005</v>
      </c>
      <c r="J98" s="390">
        <v>2006</v>
      </c>
      <c r="K98" s="390">
        <v>2007</v>
      </c>
      <c r="L98" s="390">
        <v>2008</v>
      </c>
      <c r="M98" s="390">
        <v>2009</v>
      </c>
      <c r="N98" s="391">
        <v>2010</v>
      </c>
      <c r="O98" s="248">
        <v>2011</v>
      </c>
      <c r="P98" s="248">
        <v>2012</v>
      </c>
      <c r="Q98" s="248">
        <v>2013</v>
      </c>
      <c r="R98" s="248">
        <v>2014</v>
      </c>
      <c r="S98" s="248">
        <v>2015</v>
      </c>
      <c r="T98" s="248">
        <v>2016</v>
      </c>
      <c r="U98" s="248">
        <v>2017</v>
      </c>
      <c r="V98" s="248">
        <v>2018</v>
      </c>
      <c r="W98" s="248">
        <v>2019</v>
      </c>
      <c r="X98" s="248">
        <v>2020</v>
      </c>
      <c r="Y98" s="247"/>
      <c r="Z98" s="247"/>
      <c r="AA98" s="247"/>
    </row>
    <row r="99" spans="1:27" ht="12.75">
      <c r="A99" s="312" t="s">
        <v>419</v>
      </c>
      <c r="B99" s="388">
        <f>NPV(0.1,D99:Y99)</f>
        <v>466699.71253897692</v>
      </c>
      <c r="C99" s="388">
        <f>B99-B89</f>
        <v>0.47067528677871451</v>
      </c>
      <c r="D99" s="392">
        <v>26849.743967533301</v>
      </c>
      <c r="E99" s="393">
        <v>37744.940502689919</v>
      </c>
      <c r="F99" s="393">
        <v>38030.847769907123</v>
      </c>
      <c r="G99" s="393">
        <v>48482.772802592292</v>
      </c>
      <c r="H99" s="393">
        <v>57110.336837793307</v>
      </c>
      <c r="I99" s="393">
        <v>58527.79446135537</v>
      </c>
      <c r="J99" s="393">
        <v>59498.982602851262</v>
      </c>
      <c r="K99" s="393">
        <v>60571.931104545954</v>
      </c>
      <c r="L99" s="393">
        <v>61744.176604456501</v>
      </c>
      <c r="M99" s="393">
        <v>63019.662974627172</v>
      </c>
      <c r="N99" s="394">
        <v>64425.735467670667</v>
      </c>
      <c r="O99" s="252">
        <v>66127.710889171081</v>
      </c>
      <c r="P99" s="252">
        <v>67972.699592659308</v>
      </c>
      <c r="Q99" s="252">
        <v>69895.738699222304</v>
      </c>
      <c r="R99" s="252">
        <v>71890.439948276064</v>
      </c>
      <c r="S99" s="252">
        <v>73924.008828486185</v>
      </c>
      <c r="T99" s="252">
        <v>75644.494559815605</v>
      </c>
      <c r="U99" s="252">
        <v>77541.89763931412</v>
      </c>
      <c r="V99" s="252">
        <v>79194.35417543941</v>
      </c>
      <c r="W99" s="252">
        <v>80841.588278884388</v>
      </c>
      <c r="X99" s="252">
        <v>20103.486715349016</v>
      </c>
      <c r="Y99" s="247"/>
      <c r="Z99" s="247"/>
      <c r="AA99" s="247"/>
    </row>
    <row r="100" spans="1:27" ht="12.75">
      <c r="A100" s="313" t="s">
        <v>420</v>
      </c>
      <c r="B100" s="388">
        <f>NPV(0.1,D100:Y100)</f>
        <v>204353.78928011024</v>
      </c>
      <c r="C100" s="388">
        <f>B100-B90</f>
        <v>314.82801274865051</v>
      </c>
      <c r="D100" s="392">
        <v>16788.706734199968</v>
      </c>
      <c r="E100" s="393">
        <v>20460.777202689915</v>
      </c>
      <c r="F100" s="393">
        <v>20858.365412907122</v>
      </c>
      <c r="G100" s="393">
        <v>21190.28042264234</v>
      </c>
      <c r="H100" s="393">
        <v>21590.853138045612</v>
      </c>
      <c r="I100" s="393">
        <v>22068.414184181987</v>
      </c>
      <c r="J100" s="393">
        <v>22618.404530931453</v>
      </c>
      <c r="K100" s="393">
        <v>23277.879637184396</v>
      </c>
      <c r="L100" s="393">
        <v>24045.218682931431</v>
      </c>
      <c r="M100" s="393">
        <v>24925.251682749382</v>
      </c>
      <c r="N100" s="394">
        <v>25946.255490088377</v>
      </c>
      <c r="O100" s="252">
        <v>27117.171190568031</v>
      </c>
      <c r="P100" s="252">
        <v>28434.050946494077</v>
      </c>
      <c r="Q100" s="252">
        <v>29832.586879109898</v>
      </c>
      <c r="R100" s="252">
        <v>31307.082372301204</v>
      </c>
      <c r="S100" s="252">
        <v>32825.472812675238</v>
      </c>
      <c r="T100" s="252">
        <v>34401.411713740003</v>
      </c>
      <c r="U100" s="252">
        <v>36182.766660312205</v>
      </c>
      <c r="V100" s="252">
        <v>37749.513774837076</v>
      </c>
      <c r="W100" s="252">
        <v>39343.301934006689</v>
      </c>
      <c r="X100" s="252">
        <v>747.99344237485968</v>
      </c>
      <c r="Y100" s="247"/>
      <c r="Z100" s="247"/>
      <c r="AA100" s="247"/>
    </row>
    <row r="101" spans="1:27" ht="12.75">
      <c r="A101" s="313" t="s">
        <v>35</v>
      </c>
      <c r="B101" s="388">
        <f>NPV(0.1,D101:Y101)</f>
        <v>83953.372851471548</v>
      </c>
      <c r="C101" s="388">
        <f>B101-B91</f>
        <v>-136.04635197087191</v>
      </c>
      <c r="D101" s="392">
        <v>-318.94285310735086</v>
      </c>
      <c r="E101" s="393">
        <v>308.2661500918378</v>
      </c>
      <c r="F101" s="393">
        <v>351.48276682372261</v>
      </c>
      <c r="G101" s="393">
        <v>6464.9251312852648</v>
      </c>
      <c r="H101" s="393">
        <v>11387.174591975618</v>
      </c>
      <c r="I101" s="393">
        <v>12291.98984318785</v>
      </c>
      <c r="J101" s="393">
        <v>12869.681152312402</v>
      </c>
      <c r="K101" s="393">
        <v>13283.502146704237</v>
      </c>
      <c r="L101" s="393">
        <v>13778.335065708228</v>
      </c>
      <c r="M101" s="393">
        <v>14294.683737062924</v>
      </c>
      <c r="N101" s="394">
        <v>14833.959168099478</v>
      </c>
      <c r="O101" s="252">
        <v>15423.088795800464</v>
      </c>
      <c r="P101" s="252">
        <v>16115.377782279458</v>
      </c>
      <c r="Q101" s="252">
        <v>16844.833667134732</v>
      </c>
      <c r="R101" s="252">
        <v>17614.09209622418</v>
      </c>
      <c r="S101" s="252">
        <v>18348.969799674156</v>
      </c>
      <c r="T101" s="252">
        <v>18989.006664323028</v>
      </c>
      <c r="U101" s="252">
        <v>19658.045584371073</v>
      </c>
      <c r="V101" s="252">
        <v>20358.093174050886</v>
      </c>
      <c r="W101" s="252">
        <v>20826.219442823269</v>
      </c>
      <c r="X101" s="252">
        <v>0</v>
      </c>
      <c r="Y101" s="247"/>
      <c r="Z101" s="247"/>
      <c r="AA101" s="247"/>
    </row>
    <row r="102" spans="1:27" ht="12.75">
      <c r="A102" s="313" t="s">
        <v>32</v>
      </c>
      <c r="B102" s="388">
        <f>NPV(0.1,D102:Y102)</f>
        <v>100199.99153881168</v>
      </c>
      <c r="C102" s="388">
        <f>B102-B92</f>
        <v>-82.49763309014088</v>
      </c>
      <c r="D102" s="395">
        <v>2382.0090639856844</v>
      </c>
      <c r="E102" s="396">
        <v>3997.6460371878857</v>
      </c>
      <c r="F102" s="396">
        <v>4007.6306501901518</v>
      </c>
      <c r="G102" s="396">
        <v>16397.157043983185</v>
      </c>
      <c r="H102" s="396">
        <v>21379.351205267711</v>
      </c>
      <c r="I102" s="396">
        <v>16271.045844126187</v>
      </c>
      <c r="J102" s="396">
        <v>15048.000098686931</v>
      </c>
      <c r="K102" s="396">
        <v>14955.722837714209</v>
      </c>
      <c r="L102" s="396">
        <v>14894.36483543678</v>
      </c>
      <c r="M102" s="396">
        <v>14825.533911705379</v>
      </c>
      <c r="N102" s="397">
        <v>14723.93603602113</v>
      </c>
      <c r="O102" s="252">
        <v>14574.249806773776</v>
      </c>
      <c r="P102" s="252">
        <v>14456.763119256673</v>
      </c>
      <c r="Q102" s="252">
        <v>14324.825672036672</v>
      </c>
      <c r="R102" s="252">
        <v>14152.461767744784</v>
      </c>
      <c r="S102" s="252">
        <v>12121.405349274948</v>
      </c>
      <c r="T102" s="252">
        <v>10060.167550641159</v>
      </c>
      <c r="U102" s="252">
        <v>9717.8415442707592</v>
      </c>
      <c r="V102" s="252">
        <v>9337.4366013692907</v>
      </c>
      <c r="W102" s="252">
        <v>15299.020351568655</v>
      </c>
      <c r="X102" s="252">
        <v>0</v>
      </c>
      <c r="Y102" s="247"/>
      <c r="Z102" s="247"/>
      <c r="AA102" s="247"/>
    </row>
    <row r="103" spans="1:27" ht="12.75">
      <c r="A103" s="247"/>
      <c r="B103" s="247"/>
      <c r="D103" s="247"/>
      <c r="E103" s="247"/>
      <c r="F103" s="247"/>
      <c r="G103" s="247"/>
      <c r="H103" s="247"/>
      <c r="I103" s="247"/>
      <c r="J103" s="247"/>
      <c r="K103" s="247"/>
      <c r="L103" s="247"/>
      <c r="M103" s="247"/>
      <c r="N103" s="247"/>
      <c r="O103" s="247"/>
      <c r="P103" s="247"/>
      <c r="Q103" s="247"/>
      <c r="R103" s="247"/>
      <c r="S103" s="247"/>
      <c r="T103" s="247"/>
      <c r="U103" s="247"/>
      <c r="V103" s="247"/>
      <c r="W103" s="247"/>
      <c r="X103" s="247"/>
      <c r="Y103" s="247"/>
      <c r="Z103" s="247"/>
      <c r="AA103" s="247"/>
    </row>
    <row r="104" spans="1:27" ht="12.75">
      <c r="A104" s="292" t="s">
        <v>468</v>
      </c>
      <c r="B104" s="247"/>
      <c r="D104" s="247"/>
      <c r="E104" s="247"/>
      <c r="F104" s="247"/>
      <c r="G104" s="247"/>
      <c r="H104" s="247"/>
      <c r="I104" s="247"/>
      <c r="J104" s="247"/>
      <c r="K104" s="247"/>
      <c r="L104" s="247"/>
      <c r="M104" s="247"/>
      <c r="N104" s="247"/>
      <c r="O104" s="247"/>
      <c r="P104" s="247"/>
      <c r="Q104" s="247"/>
      <c r="R104" s="247"/>
      <c r="S104" s="247"/>
      <c r="T104" s="247"/>
      <c r="U104" s="247"/>
      <c r="V104" s="247"/>
      <c r="W104" s="247"/>
      <c r="X104" s="247"/>
      <c r="Y104" s="247"/>
      <c r="Z104" s="247"/>
      <c r="AA104" s="247"/>
    </row>
    <row r="105" spans="1:27" ht="12.75">
      <c r="A105" s="333">
        <v>36240</v>
      </c>
      <c r="B105" s="247"/>
      <c r="D105" s="247"/>
      <c r="E105" s="247"/>
      <c r="F105" s="247"/>
      <c r="G105" s="247"/>
      <c r="H105" s="247"/>
      <c r="I105" s="247"/>
      <c r="J105" s="247"/>
      <c r="K105" s="247"/>
      <c r="L105" s="247"/>
      <c r="M105" s="247"/>
      <c r="N105" s="247"/>
      <c r="O105" s="247"/>
      <c r="P105" s="247"/>
      <c r="Q105" s="247"/>
      <c r="R105" s="247"/>
      <c r="S105" s="247"/>
      <c r="T105" s="247"/>
      <c r="U105" s="247"/>
      <c r="V105" s="247"/>
      <c r="W105" s="247"/>
      <c r="X105" s="247"/>
      <c r="Y105" s="247"/>
      <c r="Z105" s="247"/>
      <c r="AA105" s="247"/>
    </row>
    <row r="106" spans="1:27" ht="12.75">
      <c r="A106" s="308" t="s">
        <v>416</v>
      </c>
      <c r="B106" s="309">
        <v>69694.301044998429</v>
      </c>
      <c r="D106" s="247"/>
      <c r="E106" s="247"/>
      <c r="F106" s="247"/>
      <c r="G106" s="247"/>
      <c r="H106" s="247"/>
      <c r="I106" s="247"/>
      <c r="J106" s="247"/>
      <c r="K106" s="247"/>
      <c r="L106" s="247"/>
      <c r="M106" s="247"/>
      <c r="N106" s="247"/>
      <c r="O106" s="247"/>
      <c r="P106" s="247"/>
      <c r="Q106" s="247"/>
      <c r="R106" s="247"/>
      <c r="S106" s="247"/>
      <c r="T106" s="247"/>
      <c r="U106" s="247"/>
      <c r="V106" s="247"/>
      <c r="W106" s="247"/>
      <c r="X106" s="247"/>
      <c r="Y106" s="247"/>
      <c r="Z106" s="247"/>
      <c r="AA106" s="247"/>
    </row>
    <row r="107" spans="1:27" ht="12.75">
      <c r="A107" s="310" t="s">
        <v>417</v>
      </c>
      <c r="B107" s="311">
        <v>108137.43977358557</v>
      </c>
      <c r="D107" s="247"/>
      <c r="E107" s="247"/>
      <c r="F107" s="247"/>
      <c r="G107" s="247"/>
      <c r="H107" s="247"/>
      <c r="I107" s="247"/>
      <c r="J107" s="247"/>
      <c r="K107" s="247"/>
      <c r="L107" s="247"/>
      <c r="M107" s="247"/>
      <c r="N107" s="247"/>
      <c r="O107" s="247"/>
      <c r="P107" s="247"/>
      <c r="Q107" s="247"/>
      <c r="R107" s="247"/>
      <c r="S107" s="247"/>
      <c r="T107" s="247"/>
      <c r="U107" s="247"/>
      <c r="V107" s="247"/>
      <c r="W107" s="247"/>
      <c r="X107" s="247"/>
      <c r="Y107" s="247"/>
      <c r="Z107" s="247"/>
      <c r="AA107" s="247"/>
    </row>
    <row r="108" spans="1:27" ht="12.75">
      <c r="A108" s="312" t="s">
        <v>418</v>
      </c>
      <c r="B108" s="387" t="s">
        <v>469</v>
      </c>
      <c r="C108" s="387" t="s">
        <v>470</v>
      </c>
      <c r="D108" s="389">
        <v>2000</v>
      </c>
      <c r="E108" s="390">
        <v>2001</v>
      </c>
      <c r="F108" s="390">
        <v>2002</v>
      </c>
      <c r="G108" s="390">
        <v>2003</v>
      </c>
      <c r="H108" s="390">
        <v>2004</v>
      </c>
      <c r="I108" s="390">
        <v>2005</v>
      </c>
      <c r="J108" s="390">
        <v>2006</v>
      </c>
      <c r="K108" s="390">
        <v>2007</v>
      </c>
      <c r="L108" s="390">
        <v>2008</v>
      </c>
      <c r="M108" s="390">
        <v>2009</v>
      </c>
      <c r="N108" s="391">
        <v>2010</v>
      </c>
      <c r="O108" s="248">
        <v>2011</v>
      </c>
      <c r="P108" s="248">
        <v>2012</v>
      </c>
      <c r="Q108" s="248">
        <v>2013</v>
      </c>
      <c r="R108" s="248">
        <v>2014</v>
      </c>
      <c r="S108" s="248">
        <v>2015</v>
      </c>
      <c r="T108" s="248">
        <v>2016</v>
      </c>
      <c r="U108" s="248">
        <v>2017</v>
      </c>
      <c r="V108" s="248">
        <v>2018</v>
      </c>
      <c r="W108" s="248">
        <v>2019</v>
      </c>
      <c r="X108" s="248">
        <v>2020</v>
      </c>
      <c r="Y108" s="247"/>
      <c r="Z108" s="247"/>
      <c r="AA108" s="247"/>
    </row>
    <row r="109" spans="1:27" ht="12.75">
      <c r="A109" s="312" t="s">
        <v>419</v>
      </c>
      <c r="B109" s="388">
        <f>NPV(0.1,D109:Y109)</f>
        <v>466699.76290114532</v>
      </c>
      <c r="C109" s="388">
        <f>B109-B99</f>
        <v>5.0362168403808028E-2</v>
      </c>
      <c r="D109" s="392">
        <v>26849.749883054712</v>
      </c>
      <c r="E109" s="393">
        <v>37744.94641821133</v>
      </c>
      <c r="F109" s="393">
        <v>38030.853685428534</v>
      </c>
      <c r="G109" s="393">
        <v>48482.778718113696</v>
      </c>
      <c r="H109" s="393">
        <v>57110.342753314719</v>
      </c>
      <c r="I109" s="393">
        <v>58527.800376876781</v>
      </c>
      <c r="J109" s="393">
        <v>59498.988518372673</v>
      </c>
      <c r="K109" s="393">
        <v>60571.937020067366</v>
      </c>
      <c r="L109" s="393">
        <v>61744.182519977912</v>
      </c>
      <c r="M109" s="393">
        <v>63019.668890148583</v>
      </c>
      <c r="N109" s="394">
        <v>64425.741383192086</v>
      </c>
      <c r="O109" s="252">
        <v>66127.716804692493</v>
      </c>
      <c r="P109" s="252">
        <v>67972.705508180719</v>
      </c>
      <c r="Q109" s="252">
        <v>69895.744614743715</v>
      </c>
      <c r="R109" s="252">
        <v>71890.445863797475</v>
      </c>
      <c r="S109" s="252">
        <v>73924.014744007596</v>
      </c>
      <c r="T109" s="252">
        <v>75644.50047533703</v>
      </c>
      <c r="U109" s="252">
        <v>77541.903554835531</v>
      </c>
      <c r="V109" s="252">
        <v>79194.360090960821</v>
      </c>
      <c r="W109" s="252">
        <v>80841.594194405785</v>
      </c>
      <c r="X109" s="252">
        <v>20103.486715349016</v>
      </c>
      <c r="Y109" s="247"/>
      <c r="Z109" s="247"/>
      <c r="AA109" s="247"/>
    </row>
    <row r="110" spans="1:27" ht="12.75">
      <c r="A110" s="313" t="s">
        <v>420</v>
      </c>
      <c r="B110" s="388">
        <f>NPV(0.1,D110:Y110)</f>
        <v>204387.13959541218</v>
      </c>
      <c r="C110" s="388">
        <f>B110-B100</f>
        <v>33.350315301941009</v>
      </c>
      <c r="D110" s="392">
        <v>16792.62404972138</v>
      </c>
      <c r="E110" s="393">
        <v>20464.694518211327</v>
      </c>
      <c r="F110" s="393">
        <v>20862.282728428538</v>
      </c>
      <c r="G110" s="393">
        <v>21194.197738163748</v>
      </c>
      <c r="H110" s="393">
        <v>21594.77045356702</v>
      </c>
      <c r="I110" s="393">
        <v>22072.331499703396</v>
      </c>
      <c r="J110" s="393">
        <v>22622.321846452869</v>
      </c>
      <c r="K110" s="393">
        <v>23281.796952705812</v>
      </c>
      <c r="L110" s="393">
        <v>24049.135998452843</v>
      </c>
      <c r="M110" s="393">
        <v>24929.168998270798</v>
      </c>
      <c r="N110" s="394">
        <v>25950.172805609785</v>
      </c>
      <c r="O110" s="252">
        <v>27121.088506089443</v>
      </c>
      <c r="P110" s="252">
        <v>28437.968262015489</v>
      </c>
      <c r="Q110" s="252">
        <v>29836.504194631307</v>
      </c>
      <c r="R110" s="252">
        <v>31310.999687822619</v>
      </c>
      <c r="S110" s="252">
        <v>32829.390128196654</v>
      </c>
      <c r="T110" s="252">
        <v>34405.329029261411</v>
      </c>
      <c r="U110" s="252">
        <v>36186.683975833614</v>
      </c>
      <c r="V110" s="252">
        <v>37753.431090358485</v>
      </c>
      <c r="W110" s="252">
        <v>39347.219249528105</v>
      </c>
      <c r="X110" s="252">
        <v>747.99344237485968</v>
      </c>
      <c r="Y110" s="247"/>
      <c r="Z110" s="247"/>
      <c r="AA110" s="247"/>
    </row>
    <row r="111" spans="1:27" ht="12.75">
      <c r="A111" s="313" t="s">
        <v>35</v>
      </c>
      <c r="B111" s="388">
        <f>NPV(0.1,D111:Y111)</f>
        <v>83321.671148582784</v>
      </c>
      <c r="C111" s="388">
        <f>B111-B101</f>
        <v>-631.70170288876398</v>
      </c>
      <c r="D111" s="392">
        <v>-364.9640281481386</v>
      </c>
      <c r="E111" s="393">
        <v>230.94197526480716</v>
      </c>
      <c r="F111" s="393">
        <v>274.08426524842019</v>
      </c>
      <c r="G111" s="393">
        <v>6387.4465426386969</v>
      </c>
      <c r="H111" s="393">
        <v>11309.675829060578</v>
      </c>
      <c r="I111" s="393">
        <v>12214.48807787536</v>
      </c>
      <c r="J111" s="393">
        <v>12792.169274170654</v>
      </c>
      <c r="K111" s="393">
        <v>13205.964854794405</v>
      </c>
      <c r="L111" s="393">
        <v>13700.770326928863</v>
      </c>
      <c r="M111" s="393">
        <v>14217.089355664455</v>
      </c>
      <c r="N111" s="394">
        <v>14756.332772672387</v>
      </c>
      <c r="O111" s="252">
        <v>15345.42782522245</v>
      </c>
      <c r="P111" s="252">
        <v>16037.679470538455</v>
      </c>
      <c r="Q111" s="252">
        <v>16767.095026937699</v>
      </c>
      <c r="R111" s="252">
        <v>17536.309901294626</v>
      </c>
      <c r="S111" s="252">
        <v>18271.140565633497</v>
      </c>
      <c r="T111" s="252">
        <v>18911.126628042373</v>
      </c>
      <c r="U111" s="252">
        <v>19580.110681671213</v>
      </c>
      <c r="V111" s="252">
        <v>20280.099015618282</v>
      </c>
      <c r="W111" s="252">
        <v>20748.201661181174</v>
      </c>
      <c r="X111" s="252">
        <v>0</v>
      </c>
      <c r="Y111" s="247"/>
      <c r="Z111" s="247"/>
      <c r="AA111" s="247"/>
    </row>
    <row r="112" spans="1:27" ht="12.75">
      <c r="A112" s="313" t="s">
        <v>32</v>
      </c>
      <c r="B112" s="388">
        <f>NPV(0.1,D112:Y112)</f>
        <v>100805.8979165232</v>
      </c>
      <c r="C112" s="388">
        <f>B112-B102</f>
        <v>605.90637771152251</v>
      </c>
      <c r="D112" s="395">
        <v>2384.9783431202995</v>
      </c>
      <c r="E112" s="396">
        <v>3989.36701518886</v>
      </c>
      <c r="F112" s="396">
        <v>3999.4932459169218</v>
      </c>
      <c r="G112" s="396">
        <v>16387.717239963502</v>
      </c>
      <c r="H112" s="396">
        <v>21370.053394706567</v>
      </c>
      <c r="I112" s="396">
        <v>16908.367725547068</v>
      </c>
      <c r="J112" s="396">
        <v>15127.675843000223</v>
      </c>
      <c r="K112" s="396">
        <v>15035.754392099463</v>
      </c>
      <c r="L112" s="396">
        <v>14974.469165163075</v>
      </c>
      <c r="M112" s="396">
        <v>14905.997405528333</v>
      </c>
      <c r="N112" s="397">
        <v>14804.475888791925</v>
      </c>
      <c r="O112" s="252">
        <v>14655.152655148202</v>
      </c>
      <c r="P112" s="252">
        <v>14537.746425769505</v>
      </c>
      <c r="Q112" s="252">
        <v>14406.176362393355</v>
      </c>
      <c r="R112" s="252">
        <v>14233.897616605027</v>
      </c>
      <c r="S112" s="252">
        <v>12161.058069051989</v>
      </c>
      <c r="T112" s="252">
        <v>10057.987319671025</v>
      </c>
      <c r="U112" s="252">
        <v>9715.7918119923543</v>
      </c>
      <c r="V112" s="252">
        <v>9335.5204553877156</v>
      </c>
      <c r="W112" s="252">
        <v>15295.77710565598</v>
      </c>
      <c r="X112" s="252">
        <v>0</v>
      </c>
      <c r="Y112" s="247"/>
      <c r="Z112" s="247"/>
      <c r="AA112" s="247"/>
    </row>
    <row r="113" spans="1:27" ht="12.75">
      <c r="A113" s="247"/>
      <c r="B113" s="247"/>
      <c r="C113" s="247"/>
      <c r="D113" s="247"/>
      <c r="E113" s="247"/>
      <c r="F113" s="247"/>
      <c r="G113" s="247"/>
      <c r="H113" s="247"/>
      <c r="I113" s="247"/>
      <c r="J113" s="247"/>
      <c r="K113" s="247"/>
      <c r="L113" s="247"/>
      <c r="M113" s="247"/>
      <c r="N113" s="247"/>
      <c r="O113" s="247"/>
      <c r="P113" s="247"/>
      <c r="Q113" s="247"/>
      <c r="R113" s="247"/>
      <c r="S113" s="247"/>
      <c r="T113" s="247"/>
      <c r="U113" s="247"/>
      <c r="V113" s="247"/>
      <c r="W113" s="247"/>
      <c r="X113" s="247"/>
      <c r="Y113" s="247"/>
      <c r="Z113" s="247"/>
      <c r="AA113" s="247"/>
    </row>
    <row r="114" spans="1:27" ht="12.75">
      <c r="A114" s="292" t="s">
        <v>474</v>
      </c>
      <c r="B114" s="247"/>
      <c r="C114" s="247"/>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c r="AA114" s="247"/>
    </row>
    <row r="115" spans="1:27" ht="12.75">
      <c r="A115" s="333">
        <v>36248</v>
      </c>
      <c r="B115" s="247"/>
      <c r="C115" s="247"/>
      <c r="D115" s="247"/>
      <c r="E115" s="247"/>
      <c r="F115" s="247"/>
      <c r="G115" s="247"/>
      <c r="H115" s="247"/>
      <c r="I115" s="247"/>
      <c r="J115" s="247"/>
      <c r="K115" s="247"/>
      <c r="L115" s="247"/>
      <c r="M115" s="247"/>
      <c r="N115" s="247"/>
      <c r="O115" s="247"/>
      <c r="P115" s="247"/>
      <c r="Q115" s="247"/>
      <c r="R115" s="247"/>
      <c r="S115" s="247"/>
      <c r="T115" s="247"/>
      <c r="U115" s="247"/>
      <c r="V115" s="247"/>
      <c r="W115" s="247"/>
      <c r="X115" s="247"/>
      <c r="Y115" s="247"/>
      <c r="Z115" s="247"/>
      <c r="AA115" s="247"/>
    </row>
    <row r="116" spans="1:27" ht="12.75">
      <c r="A116" s="308" t="s">
        <v>416</v>
      </c>
      <c r="B116" s="309">
        <v>69207.403105414691</v>
      </c>
      <c r="C116" s="247"/>
      <c r="D116" s="247"/>
      <c r="E116" s="247"/>
      <c r="F116" s="247"/>
      <c r="G116" s="247"/>
      <c r="H116" s="247"/>
      <c r="I116" s="247"/>
      <c r="J116" s="247"/>
      <c r="K116" s="247"/>
      <c r="L116" s="247"/>
      <c r="M116" s="247"/>
      <c r="N116" s="247"/>
      <c r="O116" s="247"/>
      <c r="P116" s="247"/>
      <c r="Q116" s="247"/>
      <c r="R116" s="247"/>
      <c r="S116" s="247"/>
      <c r="T116" s="247"/>
      <c r="U116" s="247"/>
      <c r="V116" s="247"/>
      <c r="W116" s="247"/>
      <c r="X116" s="247"/>
      <c r="Y116" s="247"/>
      <c r="Z116" s="247"/>
      <c r="AA116" s="247"/>
    </row>
    <row r="117" spans="1:27" ht="12.75">
      <c r="A117" s="310" t="s">
        <v>417</v>
      </c>
      <c r="B117" s="311">
        <v>107508.23856771721</v>
      </c>
      <c r="C117" s="247"/>
      <c r="D117" s="247"/>
      <c r="E117" s="247"/>
      <c r="F117" s="247"/>
      <c r="G117" s="247"/>
      <c r="H117" s="247"/>
      <c r="I117" s="247"/>
      <c r="J117" s="247"/>
      <c r="K117" s="247"/>
      <c r="L117" s="247"/>
      <c r="M117" s="247"/>
      <c r="N117" s="247"/>
      <c r="O117" s="247"/>
      <c r="P117" s="247"/>
      <c r="Q117" s="247"/>
      <c r="R117" s="247"/>
      <c r="S117" s="247"/>
      <c r="T117" s="247"/>
      <c r="U117" s="247"/>
      <c r="V117" s="247"/>
      <c r="W117" s="247"/>
      <c r="X117" s="247"/>
      <c r="Y117" s="247"/>
      <c r="Z117" s="247"/>
      <c r="AA117" s="247"/>
    </row>
    <row r="118" spans="1:27" ht="12.75">
      <c r="A118" s="312" t="s">
        <v>418</v>
      </c>
      <c r="B118" s="387" t="s">
        <v>469</v>
      </c>
      <c r="C118" s="387" t="s">
        <v>470</v>
      </c>
      <c r="D118" s="389">
        <v>2000</v>
      </c>
      <c r="E118" s="390">
        <v>2001</v>
      </c>
      <c r="F118" s="390">
        <v>2002</v>
      </c>
      <c r="G118" s="390">
        <v>2003</v>
      </c>
      <c r="H118" s="390">
        <v>2004</v>
      </c>
      <c r="I118" s="390">
        <v>2005</v>
      </c>
      <c r="J118" s="390">
        <v>2006</v>
      </c>
      <c r="K118" s="390">
        <v>2007</v>
      </c>
      <c r="L118" s="390">
        <v>2008</v>
      </c>
      <c r="M118" s="390">
        <v>2009</v>
      </c>
      <c r="N118" s="391">
        <v>2010</v>
      </c>
      <c r="O118" s="248">
        <v>2011</v>
      </c>
      <c r="P118" s="248">
        <v>2012</v>
      </c>
      <c r="Q118" s="248">
        <v>2013</v>
      </c>
      <c r="R118" s="248">
        <v>2014</v>
      </c>
      <c r="S118" s="248">
        <v>2015</v>
      </c>
      <c r="T118" s="248">
        <v>2016</v>
      </c>
      <c r="U118" s="248">
        <v>2017</v>
      </c>
      <c r="V118" s="248">
        <v>2018</v>
      </c>
      <c r="W118" s="248">
        <v>2019</v>
      </c>
      <c r="X118" s="248">
        <v>2020</v>
      </c>
      <c r="Y118" s="247"/>
      <c r="Z118" s="247"/>
      <c r="AA118" s="247"/>
    </row>
    <row r="119" spans="1:27" ht="12.75">
      <c r="A119" s="312" t="s">
        <v>419</v>
      </c>
      <c r="B119" s="388">
        <f>NPV(0.1,D119:Y119)</f>
        <v>466700.38285208913</v>
      </c>
      <c r="C119" s="388">
        <f>B119-B109</f>
        <v>0.6199509438010864</v>
      </c>
      <c r="D119" s="392">
        <v>26849.785789466103</v>
      </c>
      <c r="E119" s="393">
        <v>37745.009818674866</v>
      </c>
      <c r="F119" s="393">
        <v>38030.918987905985</v>
      </c>
      <c r="G119" s="393">
        <v>48482.845979665472</v>
      </c>
      <c r="H119" s="393">
        <v>57110.412032713037</v>
      </c>
      <c r="I119" s="393">
        <v>58527.871734657048</v>
      </c>
      <c r="J119" s="393">
        <v>59499.062016886346</v>
      </c>
      <c r="K119" s="393">
        <v>60572.012723536449</v>
      </c>
      <c r="L119" s="393">
        <v>61744.260494551083</v>
      </c>
      <c r="M119" s="393">
        <v>63019.749203958942</v>
      </c>
      <c r="N119" s="394">
        <v>64425.824106416752</v>
      </c>
      <c r="O119" s="252">
        <v>66127.802009613908</v>
      </c>
      <c r="P119" s="252">
        <v>67972.793269249756</v>
      </c>
      <c r="Q119" s="252">
        <v>69895.835008644834</v>
      </c>
      <c r="R119" s="252">
        <v>71890.538969515634</v>
      </c>
      <c r="S119" s="252">
        <v>73924.110642897285</v>
      </c>
      <c r="T119" s="252">
        <v>75644.599251193416</v>
      </c>
      <c r="U119" s="252">
        <v>77542.00529396761</v>
      </c>
      <c r="V119" s="252">
        <v>79194.464882266868</v>
      </c>
      <c r="W119" s="252">
        <v>80841.702129451005</v>
      </c>
      <c r="X119" s="252">
        <v>20103.486715349016</v>
      </c>
      <c r="Y119" s="247"/>
      <c r="Z119" s="247"/>
      <c r="AA119" s="247"/>
    </row>
    <row r="120" spans="1:27" ht="12.75">
      <c r="A120" s="313" t="s">
        <v>420</v>
      </c>
      <c r="B120" s="388">
        <f>NPV(0.1,D120:Y120)</f>
        <v>205106.33678912953</v>
      </c>
      <c r="C120" s="388">
        <f>B120-B110</f>
        <v>719.19719371735118</v>
      </c>
      <c r="D120" s="392">
        <v>16816.401622799436</v>
      </c>
      <c r="E120" s="393">
        <v>20506.678918674868</v>
      </c>
      <c r="F120" s="393">
        <v>20905.526660905984</v>
      </c>
      <c r="G120" s="393">
        <v>21238.738988615518</v>
      </c>
      <c r="H120" s="393">
        <v>21640.647941532348</v>
      </c>
      <c r="I120" s="393">
        <v>22119.585312307681</v>
      </c>
      <c r="J120" s="393">
        <v>22670.99327343527</v>
      </c>
      <c r="K120" s="393">
        <v>23331.928522497692</v>
      </c>
      <c r="L120" s="393">
        <v>24100.771515338485</v>
      </c>
      <c r="M120" s="393">
        <v>24982.353580663003</v>
      </c>
      <c r="N120" s="394">
        <v>26004.952925473757</v>
      </c>
      <c r="O120" s="252">
        <v>27177.512029549333</v>
      </c>
      <c r="P120" s="252">
        <v>28496.084491179179</v>
      </c>
      <c r="Q120" s="252">
        <v>29896.363910669908</v>
      </c>
      <c r="R120" s="252">
        <v>31372.65519534237</v>
      </c>
      <c r="S120" s="252">
        <v>32892.895300942</v>
      </c>
      <c r="T120" s="252">
        <v>34470.739357189123</v>
      </c>
      <c r="U120" s="252">
        <v>36254.056613599154</v>
      </c>
      <c r="V120" s="252">
        <v>37822.824907256989</v>
      </c>
      <c r="W120" s="252">
        <v>39418.694880933566</v>
      </c>
      <c r="X120" s="252">
        <v>3032.1522190073556</v>
      </c>
      <c r="Y120" s="247"/>
      <c r="Z120" s="247"/>
      <c r="AA120" s="247"/>
    </row>
    <row r="121" spans="1:27" ht="12.75">
      <c r="A121" s="313" t="s">
        <v>35</v>
      </c>
      <c r="B121" s="388">
        <f>NPV(0.1,D121:Y121)</f>
        <v>83052.898536891837</v>
      </c>
      <c r="C121" s="388">
        <f>B121-B111</f>
        <v>-268.77261169094709</v>
      </c>
      <c r="D121" s="392">
        <v>-386.96929718521517</v>
      </c>
      <c r="E121" s="393">
        <v>192.1498156250459</v>
      </c>
      <c r="F121" s="393">
        <v>233.88827314340895</v>
      </c>
      <c r="G121" s="393">
        <v>6345.7288342826159</v>
      </c>
      <c r="H121" s="393">
        <v>11267.065039621515</v>
      </c>
      <c r="I121" s="393">
        <v>12184.823714235434</v>
      </c>
      <c r="J121" s="393">
        <v>12771.41960615714</v>
      </c>
      <c r="K121" s="393">
        <v>13184.137994725605</v>
      </c>
      <c r="L121" s="393">
        <v>13677.795750038747</v>
      </c>
      <c r="M121" s="393">
        <v>14192.891364723648</v>
      </c>
      <c r="N121" s="394">
        <v>14730.83009827665</v>
      </c>
      <c r="O121" s="252">
        <v>15318.533194526806</v>
      </c>
      <c r="P121" s="252">
        <v>16009.299141925252</v>
      </c>
      <c r="Q121" s="252">
        <v>16737.128287906497</v>
      </c>
      <c r="R121" s="252">
        <v>17504.648526644931</v>
      </c>
      <c r="S121" s="252">
        <v>18237.668232777727</v>
      </c>
      <c r="T121" s="252">
        <v>18875.718286033843</v>
      </c>
      <c r="U121" s="252">
        <v>19542.631870258771</v>
      </c>
      <c r="V121" s="252">
        <v>20240.405130345134</v>
      </c>
      <c r="W121" s="252">
        <v>20706.569863548692</v>
      </c>
      <c r="X121" s="252">
        <v>0</v>
      </c>
      <c r="Y121" s="247"/>
      <c r="Z121" s="247"/>
      <c r="AA121" s="247"/>
    </row>
    <row r="122" spans="1:27" ht="12.75">
      <c r="A122" s="313" t="s">
        <v>32</v>
      </c>
      <c r="B122" s="388">
        <f>NPV(0.1,D122:Y122)</f>
        <v>100744.69770036021</v>
      </c>
      <c r="C122" s="388">
        <f>B122-B112</f>
        <v>-61.200216162993456</v>
      </c>
      <c r="D122" s="395">
        <v>2379.0762561010683</v>
      </c>
      <c r="E122" s="396">
        <v>3978.5677726154368</v>
      </c>
      <c r="F122" s="396">
        <v>3988.432859629082</v>
      </c>
      <c r="G122" s="396">
        <v>16359.963903993656</v>
      </c>
      <c r="H122" s="396">
        <v>21341.524565590727</v>
      </c>
      <c r="I122" s="396">
        <v>17026.718688131525</v>
      </c>
      <c r="J122" s="396">
        <v>15111.983297939849</v>
      </c>
      <c r="K122" s="396">
        <v>15019.91762823757</v>
      </c>
      <c r="L122" s="396">
        <v>14958.508427988432</v>
      </c>
      <c r="M122" s="396">
        <v>14889.938141366194</v>
      </c>
      <c r="N122" s="397">
        <v>14788.344016884657</v>
      </c>
      <c r="O122" s="252">
        <v>14638.979810032182</v>
      </c>
      <c r="P122" s="252">
        <v>14521.565272329113</v>
      </c>
      <c r="Q122" s="252">
        <v>14390.025884703537</v>
      </c>
      <c r="R122" s="252">
        <v>14217.818483224371</v>
      </c>
      <c r="S122" s="252">
        <v>12144.913792413825</v>
      </c>
      <c r="T122" s="252">
        <v>10041.829061447886</v>
      </c>
      <c r="U122" s="252">
        <v>9699.8596659764207</v>
      </c>
      <c r="V122" s="252">
        <v>9319.8770217903184</v>
      </c>
      <c r="W122" s="252">
        <v>15264.800570803793</v>
      </c>
      <c r="X122" s="252">
        <v>0</v>
      </c>
      <c r="Y122" s="247"/>
      <c r="Z122" s="247"/>
      <c r="AA122" s="247"/>
    </row>
    <row r="123" spans="1:27" ht="12.75">
      <c r="A123" s="247"/>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c r="AA123" s="247"/>
    </row>
    <row r="124" spans="1:27" ht="12.75">
      <c r="A124" s="292" t="s">
        <v>476</v>
      </c>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c r="AA124" s="247"/>
    </row>
    <row r="125" spans="1:27" ht="12.75">
      <c r="A125" s="333">
        <v>36249</v>
      </c>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c r="AA125" s="247"/>
    </row>
    <row r="126" spans="1:27" ht="12.75">
      <c r="A126" s="308" t="s">
        <v>416</v>
      </c>
      <c r="B126" s="309">
        <v>69079.47809030932</v>
      </c>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c r="AA126" s="247"/>
    </row>
    <row r="127" spans="1:27" ht="12.75">
      <c r="A127" s="310" t="s">
        <v>417</v>
      </c>
      <c r="B127" s="311">
        <v>107356.54331570705</v>
      </c>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c r="AA127" s="247"/>
    </row>
    <row r="128" spans="1:27" ht="12.75">
      <c r="A128" s="312" t="s">
        <v>418</v>
      </c>
      <c r="B128" s="387" t="s">
        <v>469</v>
      </c>
      <c r="C128" s="387" t="s">
        <v>470</v>
      </c>
      <c r="D128" s="389">
        <v>2000</v>
      </c>
      <c r="E128" s="390">
        <v>2001</v>
      </c>
      <c r="F128" s="390">
        <v>2002</v>
      </c>
      <c r="G128" s="390">
        <v>2003</v>
      </c>
      <c r="H128" s="390">
        <v>2004</v>
      </c>
      <c r="I128" s="390">
        <v>2005</v>
      </c>
      <c r="J128" s="390">
        <v>2006</v>
      </c>
      <c r="K128" s="390">
        <v>2007</v>
      </c>
      <c r="L128" s="390">
        <v>2008</v>
      </c>
      <c r="M128" s="390">
        <v>2009</v>
      </c>
      <c r="N128" s="391">
        <v>2010</v>
      </c>
      <c r="O128" s="248">
        <v>2011</v>
      </c>
      <c r="P128" s="248">
        <v>2012</v>
      </c>
      <c r="Q128" s="248">
        <v>2013</v>
      </c>
      <c r="R128" s="248">
        <v>2014</v>
      </c>
      <c r="S128" s="248">
        <v>2015</v>
      </c>
      <c r="T128" s="248">
        <v>2016</v>
      </c>
      <c r="U128" s="248">
        <v>2017</v>
      </c>
      <c r="V128" s="248">
        <v>2018</v>
      </c>
      <c r="W128" s="248">
        <v>2019</v>
      </c>
      <c r="X128" s="248">
        <v>2020</v>
      </c>
      <c r="Y128" s="247"/>
      <c r="Z128" s="247"/>
      <c r="AA128" s="247"/>
    </row>
    <row r="129" spans="1:27" ht="12.75">
      <c r="A129" s="312" t="s">
        <v>419</v>
      </c>
      <c r="B129" s="388">
        <f>NPV(0.1,D129:Y129)</f>
        <v>466700.38285208913</v>
      </c>
      <c r="C129" s="388">
        <f>B129-B119</f>
        <v>0</v>
      </c>
      <c r="D129" s="392">
        <v>26849.785789466103</v>
      </c>
      <c r="E129" s="393">
        <v>37745.009818674866</v>
      </c>
      <c r="F129" s="393">
        <v>38030.918987905985</v>
      </c>
      <c r="G129" s="393">
        <v>48482.845979665472</v>
      </c>
      <c r="H129" s="393">
        <v>57110.412032713037</v>
      </c>
      <c r="I129" s="393">
        <v>58527.871734657048</v>
      </c>
      <c r="J129" s="393">
        <v>59499.062016886346</v>
      </c>
      <c r="K129" s="393">
        <v>60572.012723536449</v>
      </c>
      <c r="L129" s="393">
        <v>61744.260494551083</v>
      </c>
      <c r="M129" s="393">
        <v>63019.749203958942</v>
      </c>
      <c r="N129" s="394">
        <v>64425.824106416752</v>
      </c>
      <c r="O129" s="252">
        <v>66127.802009613908</v>
      </c>
      <c r="P129" s="252">
        <v>67972.793269249756</v>
      </c>
      <c r="Q129" s="252">
        <v>69895.835008644834</v>
      </c>
      <c r="R129" s="252">
        <v>71890.538969515634</v>
      </c>
      <c r="S129" s="252">
        <v>73924.110642897285</v>
      </c>
      <c r="T129" s="252">
        <v>75644.599251193416</v>
      </c>
      <c r="U129" s="252">
        <v>77542.00529396761</v>
      </c>
      <c r="V129" s="252">
        <v>79194.464882266868</v>
      </c>
      <c r="W129" s="252">
        <v>80841.702129451005</v>
      </c>
      <c r="X129" s="252">
        <v>20103.486715349016</v>
      </c>
      <c r="Y129" s="247"/>
      <c r="Z129" s="247"/>
      <c r="AA129" s="247"/>
    </row>
    <row r="130" spans="1:27" ht="12.75">
      <c r="A130" s="313" t="s">
        <v>420</v>
      </c>
      <c r="B130" s="388">
        <f>NPV(0.1,D130:Y130)</f>
        <v>205106.33678912953</v>
      </c>
      <c r="C130" s="388">
        <f>B130-B120</f>
        <v>0</v>
      </c>
      <c r="D130" s="392">
        <v>16816.401622799436</v>
      </c>
      <c r="E130" s="393">
        <v>20506.678918674868</v>
      </c>
      <c r="F130" s="393">
        <v>20905.526660905984</v>
      </c>
      <c r="G130" s="393">
        <v>21238.738988615518</v>
      </c>
      <c r="H130" s="393">
        <v>21640.647941532348</v>
      </c>
      <c r="I130" s="393">
        <v>22119.585312307681</v>
      </c>
      <c r="J130" s="393">
        <v>22670.99327343527</v>
      </c>
      <c r="K130" s="393">
        <v>23331.928522497692</v>
      </c>
      <c r="L130" s="393">
        <v>24100.771515338485</v>
      </c>
      <c r="M130" s="393">
        <v>24982.353580663003</v>
      </c>
      <c r="N130" s="394">
        <v>26004.952925473757</v>
      </c>
      <c r="O130" s="252">
        <v>27177.512029549333</v>
      </c>
      <c r="P130" s="252">
        <v>28496.084491179179</v>
      </c>
      <c r="Q130" s="252">
        <v>29896.363910669908</v>
      </c>
      <c r="R130" s="252">
        <v>31372.65519534237</v>
      </c>
      <c r="S130" s="252">
        <v>32892.895300942</v>
      </c>
      <c r="T130" s="252">
        <v>34470.739357189123</v>
      </c>
      <c r="U130" s="252">
        <v>36254.056613599154</v>
      </c>
      <c r="V130" s="252">
        <v>37822.824907256989</v>
      </c>
      <c r="W130" s="252">
        <v>39418.694880933566</v>
      </c>
      <c r="X130" s="252">
        <v>3032.1522190073556</v>
      </c>
      <c r="Y130" s="247"/>
      <c r="Z130" s="247"/>
      <c r="AA130" s="247"/>
    </row>
    <row r="131" spans="1:27" ht="12.75">
      <c r="A131" s="313" t="s">
        <v>35</v>
      </c>
      <c r="B131" s="388">
        <f>NPV(0.1,D131:Y131)</f>
        <v>83026.405026369699</v>
      </c>
      <c r="C131" s="388">
        <f>B131-B121</f>
        <v>-26.493510522137512</v>
      </c>
      <c r="D131" s="392">
        <v>-388.86910955948434</v>
      </c>
      <c r="E131" s="393">
        <v>188.89299441201319</v>
      </c>
      <c r="F131" s="393">
        <v>230.63145193037624</v>
      </c>
      <c r="G131" s="393">
        <v>6342.4720130695823</v>
      </c>
      <c r="H131" s="393">
        <v>11263.808218408483</v>
      </c>
      <c r="I131" s="393">
        <v>12181.566893022402</v>
      </c>
      <c r="J131" s="393">
        <v>12768.162784944108</v>
      </c>
      <c r="K131" s="393">
        <v>13180.881173512573</v>
      </c>
      <c r="L131" s="393">
        <v>13674.538928825716</v>
      </c>
      <c r="M131" s="393">
        <v>14189.634543510616</v>
      </c>
      <c r="N131" s="394">
        <v>14727.573277063615</v>
      </c>
      <c r="O131" s="252">
        <v>15315.276373313774</v>
      </c>
      <c r="P131" s="252">
        <v>16006.042320712217</v>
      </c>
      <c r="Q131" s="252">
        <v>16733.871466693461</v>
      </c>
      <c r="R131" s="252">
        <v>17501.391705431903</v>
      </c>
      <c r="S131" s="252">
        <v>18234.411411564695</v>
      </c>
      <c r="T131" s="252">
        <v>18872.461464820812</v>
      </c>
      <c r="U131" s="252">
        <v>19539.375049045739</v>
      </c>
      <c r="V131" s="252">
        <v>20237.148309132099</v>
      </c>
      <c r="W131" s="252">
        <v>20703.31304233566</v>
      </c>
      <c r="X131" s="252">
        <v>0</v>
      </c>
      <c r="Y131" s="247"/>
      <c r="Z131" s="247"/>
      <c r="AA131" s="247"/>
    </row>
    <row r="132" spans="1:27" ht="12.75">
      <c r="A132" s="313" t="s">
        <v>32</v>
      </c>
      <c r="B132" s="388">
        <f>NPV(0.1,D132:Y132)</f>
        <v>100770.92797802019</v>
      </c>
      <c r="C132" s="388">
        <f>B132-B122</f>
        <v>26.230277659982676</v>
      </c>
      <c r="D132" s="395">
        <v>2379.0762561010683</v>
      </c>
      <c r="E132" s="396">
        <v>3978.2532021922016</v>
      </c>
      <c r="F132" s="396">
        <v>3988.1244679325055</v>
      </c>
      <c r="G132" s="396">
        <v>16359.661703999063</v>
      </c>
      <c r="H132" s="396">
        <v>21341.228570300693</v>
      </c>
      <c r="I132" s="396">
        <v>17053.923974783433</v>
      </c>
      <c r="J132" s="396">
        <v>15115.461083982709</v>
      </c>
      <c r="K132" s="396">
        <v>15023.409971417983</v>
      </c>
      <c r="L132" s="396">
        <v>14962.003100938358</v>
      </c>
      <c r="M132" s="396">
        <v>14893.447392602628</v>
      </c>
      <c r="N132" s="397">
        <v>14791.855619066033</v>
      </c>
      <c r="O132" s="252">
        <v>14642.506011702028</v>
      </c>
      <c r="P132" s="252">
        <v>14525.093846172405</v>
      </c>
      <c r="Q132" s="252">
        <v>14393.569079290395</v>
      </c>
      <c r="R132" s="252">
        <v>14221.364071266415</v>
      </c>
      <c r="S132" s="252">
        <v>12146.661673823459</v>
      </c>
      <c r="T132" s="252">
        <v>10041.776984799792</v>
      </c>
      <c r="U132" s="252">
        <v>9699.8116029103658</v>
      </c>
      <c r="V132" s="252">
        <v>9319.8329773328496</v>
      </c>
      <c r="W132" s="252">
        <v>15264.760549987781</v>
      </c>
      <c r="X132" s="252">
        <v>0</v>
      </c>
      <c r="Y132" s="247"/>
      <c r="Z132" s="247"/>
      <c r="AA132" s="247"/>
    </row>
    <row r="133" spans="1:27" ht="12.75">
      <c r="A133" s="247"/>
      <c r="B133" s="247"/>
      <c r="C133" s="247"/>
      <c r="D133" s="247"/>
      <c r="E133" s="247"/>
      <c r="F133" s="247"/>
      <c r="G133" s="247"/>
      <c r="H133" s="247"/>
      <c r="I133" s="247"/>
      <c r="J133" s="247"/>
      <c r="K133" s="247"/>
      <c r="L133" s="247"/>
      <c r="M133" s="247"/>
      <c r="N133" s="247"/>
      <c r="O133" s="247"/>
      <c r="P133" s="247"/>
      <c r="Q133" s="247"/>
      <c r="R133" s="247"/>
      <c r="S133" s="247"/>
      <c r="T133" s="247"/>
      <c r="U133" s="247"/>
      <c r="V133" s="247"/>
      <c r="W133" s="247"/>
      <c r="X133" s="247"/>
      <c r="Y133" s="247"/>
      <c r="Z133" s="247"/>
      <c r="AA133" s="247"/>
    </row>
    <row r="134" spans="1:27" ht="12.75">
      <c r="A134" s="292" t="s">
        <v>477</v>
      </c>
      <c r="B134" s="247"/>
      <c r="C134" s="247"/>
      <c r="D134" s="247"/>
      <c r="E134" s="247"/>
      <c r="F134" s="247"/>
      <c r="G134" s="247"/>
      <c r="H134" s="247"/>
      <c r="I134" s="247"/>
      <c r="J134" s="247"/>
      <c r="K134" s="247"/>
      <c r="L134" s="247"/>
      <c r="M134" s="247"/>
      <c r="N134" s="247"/>
      <c r="O134" s="247"/>
      <c r="P134" s="247"/>
      <c r="Q134" s="247"/>
      <c r="R134" s="247"/>
      <c r="S134" s="247"/>
      <c r="T134" s="247"/>
      <c r="U134" s="247"/>
      <c r="V134" s="247"/>
      <c r="W134" s="247"/>
      <c r="X134" s="247"/>
      <c r="Y134" s="247"/>
      <c r="Z134" s="247"/>
      <c r="AA134" s="247"/>
    </row>
    <row r="135" spans="1:27" ht="12.75">
      <c r="A135" s="333">
        <v>36250</v>
      </c>
      <c r="B135" s="247"/>
      <c r="C135" s="247"/>
      <c r="D135" s="247"/>
      <c r="E135" s="247"/>
      <c r="F135" s="247"/>
      <c r="G135" s="247"/>
      <c r="H135" s="247"/>
      <c r="I135" s="247"/>
      <c r="J135" s="247"/>
      <c r="K135" s="247"/>
      <c r="L135" s="247"/>
      <c r="M135" s="247"/>
      <c r="N135" s="247"/>
      <c r="O135" s="247"/>
      <c r="P135" s="247"/>
      <c r="Q135" s="247"/>
      <c r="R135" s="247"/>
      <c r="S135" s="247"/>
      <c r="T135" s="247"/>
      <c r="U135" s="247"/>
      <c r="V135" s="247"/>
      <c r="W135" s="247"/>
      <c r="X135" s="247"/>
      <c r="Y135" s="247"/>
      <c r="Z135" s="247"/>
      <c r="AA135" s="247"/>
    </row>
    <row r="136" spans="1:27" ht="12.75">
      <c r="A136" s="308" t="s">
        <v>416</v>
      </c>
      <c r="B136" s="309">
        <v>69243.627620608167</v>
      </c>
      <c r="C136" s="247"/>
      <c r="D136" s="247"/>
      <c r="E136" s="247"/>
      <c r="F136" s="247"/>
      <c r="G136" s="247"/>
      <c r="H136" s="247"/>
      <c r="I136" s="247"/>
      <c r="J136" s="247"/>
      <c r="K136" s="247"/>
      <c r="L136" s="247"/>
      <c r="M136" s="247"/>
      <c r="N136" s="247"/>
      <c r="O136" s="247"/>
      <c r="P136" s="247"/>
      <c r="Q136" s="247"/>
      <c r="R136" s="247"/>
      <c r="S136" s="247"/>
      <c r="T136" s="247"/>
      <c r="U136" s="247"/>
      <c r="V136" s="247"/>
      <c r="W136" s="247"/>
      <c r="X136" s="247"/>
      <c r="Y136" s="247"/>
      <c r="Z136" s="247"/>
      <c r="AA136" s="247"/>
    </row>
    <row r="137" spans="1:27" ht="12.75">
      <c r="A137" s="310" t="s">
        <v>417</v>
      </c>
      <c r="B137" s="311">
        <v>107564.00998940582</v>
      </c>
      <c r="C137" s="247"/>
      <c r="D137" s="247"/>
      <c r="E137" s="247"/>
      <c r="F137" s="247"/>
      <c r="G137" s="247"/>
      <c r="H137" s="247"/>
      <c r="I137" s="247"/>
      <c r="J137" s="247"/>
      <c r="K137" s="247"/>
      <c r="L137" s="247"/>
      <c r="M137" s="247"/>
      <c r="N137" s="247"/>
      <c r="O137" s="247"/>
      <c r="P137" s="247"/>
      <c r="Q137" s="247"/>
      <c r="R137" s="247"/>
      <c r="S137" s="247"/>
      <c r="T137" s="247"/>
      <c r="U137" s="247"/>
      <c r="V137" s="247"/>
      <c r="W137" s="247"/>
      <c r="X137" s="247"/>
      <c r="Y137" s="247"/>
      <c r="Z137" s="247"/>
      <c r="AA137" s="247"/>
    </row>
    <row r="138" spans="1:27" ht="12.75">
      <c r="A138" s="312" t="s">
        <v>418</v>
      </c>
      <c r="B138" s="387" t="s">
        <v>469</v>
      </c>
      <c r="C138" s="387" t="s">
        <v>470</v>
      </c>
      <c r="D138" s="389">
        <v>2000</v>
      </c>
      <c r="E138" s="390">
        <v>2001</v>
      </c>
      <c r="F138" s="390">
        <v>2002</v>
      </c>
      <c r="G138" s="390">
        <v>2003</v>
      </c>
      <c r="H138" s="390">
        <v>2004</v>
      </c>
      <c r="I138" s="390">
        <v>2005</v>
      </c>
      <c r="J138" s="390">
        <v>2006</v>
      </c>
      <c r="K138" s="390">
        <v>2007</v>
      </c>
      <c r="L138" s="390">
        <v>2008</v>
      </c>
      <c r="M138" s="390">
        <v>2009</v>
      </c>
      <c r="N138" s="391">
        <v>2010</v>
      </c>
      <c r="O138" s="248">
        <v>2011</v>
      </c>
      <c r="P138" s="248">
        <v>2012</v>
      </c>
      <c r="Q138" s="248">
        <v>2013</v>
      </c>
      <c r="R138" s="248">
        <v>2014</v>
      </c>
      <c r="S138" s="248">
        <v>2015</v>
      </c>
      <c r="T138" s="248">
        <v>2016</v>
      </c>
      <c r="U138" s="248">
        <v>2017</v>
      </c>
      <c r="V138" s="248">
        <v>2018</v>
      </c>
      <c r="W138" s="248">
        <v>2019</v>
      </c>
      <c r="X138" s="248">
        <v>2020</v>
      </c>
      <c r="Y138" s="247"/>
      <c r="Z138" s="247"/>
      <c r="AA138" s="247"/>
    </row>
    <row r="139" spans="1:27" ht="12.75">
      <c r="A139" s="312" t="s">
        <v>419</v>
      </c>
      <c r="B139" s="388">
        <f>NPV(0.1,D139:Y139)</f>
        <v>466700.38285208913</v>
      </c>
      <c r="C139" s="388">
        <f>B139-B129</f>
        <v>0</v>
      </c>
      <c r="D139" s="392">
        <v>26849.785789466103</v>
      </c>
      <c r="E139" s="393">
        <v>37745.009818674866</v>
      </c>
      <c r="F139" s="393">
        <v>38030.918987905985</v>
      </c>
      <c r="G139" s="393">
        <v>48482.845979665472</v>
      </c>
      <c r="H139" s="393">
        <v>57110.412032713037</v>
      </c>
      <c r="I139" s="393">
        <v>58527.871734657048</v>
      </c>
      <c r="J139" s="393">
        <v>59499.062016886346</v>
      </c>
      <c r="K139" s="393">
        <v>60572.012723536449</v>
      </c>
      <c r="L139" s="393">
        <v>61744.260494551083</v>
      </c>
      <c r="M139" s="393">
        <v>63019.749203958942</v>
      </c>
      <c r="N139" s="394">
        <v>64425.824106416752</v>
      </c>
      <c r="O139" s="252">
        <v>66127.802009613908</v>
      </c>
      <c r="P139" s="252">
        <v>67972.793269249756</v>
      </c>
      <c r="Q139" s="252">
        <v>69895.835008644834</v>
      </c>
      <c r="R139" s="252">
        <v>71890.538969515634</v>
      </c>
      <c r="S139" s="252">
        <v>73924.110642897285</v>
      </c>
      <c r="T139" s="252">
        <v>75644.599251193416</v>
      </c>
      <c r="U139" s="252">
        <v>77542.00529396761</v>
      </c>
      <c r="V139" s="252">
        <v>79194.464882266868</v>
      </c>
      <c r="W139" s="252">
        <v>80841.702129451005</v>
      </c>
      <c r="X139" s="252">
        <v>20103.486715349016</v>
      </c>
      <c r="Y139" s="247"/>
      <c r="Z139" s="247"/>
      <c r="AA139" s="247"/>
    </row>
    <row r="140" spans="1:27" ht="12.75">
      <c r="A140" s="313" t="s">
        <v>420</v>
      </c>
      <c r="B140" s="388">
        <f>NPV(0.1,D140:Y140)</f>
        <v>205106.33678912953</v>
      </c>
      <c r="C140" s="388">
        <f>B140-B130</f>
        <v>0</v>
      </c>
      <c r="D140" s="392">
        <v>16816.401622799436</v>
      </c>
      <c r="E140" s="393">
        <v>20506.678918674868</v>
      </c>
      <c r="F140" s="393">
        <v>20905.526660905984</v>
      </c>
      <c r="G140" s="393">
        <v>21238.738988615518</v>
      </c>
      <c r="H140" s="393">
        <v>21640.647941532348</v>
      </c>
      <c r="I140" s="393">
        <v>22119.585312307681</v>
      </c>
      <c r="J140" s="393">
        <v>22670.99327343527</v>
      </c>
      <c r="K140" s="393">
        <v>23331.928522497692</v>
      </c>
      <c r="L140" s="393">
        <v>24100.771515338485</v>
      </c>
      <c r="M140" s="393">
        <v>24982.353580663003</v>
      </c>
      <c r="N140" s="394">
        <v>26004.952925473757</v>
      </c>
      <c r="O140" s="252">
        <v>27177.512029549333</v>
      </c>
      <c r="P140" s="252">
        <v>28496.084491179179</v>
      </c>
      <c r="Q140" s="252">
        <v>29896.363910669908</v>
      </c>
      <c r="R140" s="252">
        <v>31372.65519534237</v>
      </c>
      <c r="S140" s="252">
        <v>32892.895300942</v>
      </c>
      <c r="T140" s="252">
        <v>34470.739357189123</v>
      </c>
      <c r="U140" s="252">
        <v>36254.056613599154</v>
      </c>
      <c r="V140" s="252">
        <v>37822.824907256989</v>
      </c>
      <c r="W140" s="252">
        <v>39418.694880933566</v>
      </c>
      <c r="X140" s="252">
        <v>3032.1522190073556</v>
      </c>
      <c r="Y140" s="247"/>
      <c r="Z140" s="247"/>
      <c r="AA140" s="247"/>
    </row>
    <row r="141" spans="1:27" ht="12.75">
      <c r="A141" s="313" t="s">
        <v>35</v>
      </c>
      <c r="B141" s="388">
        <f>NPV(0.1,D141:Y141)</f>
        <v>83114.712946922926</v>
      </c>
      <c r="C141" s="388">
        <f>B141-B131</f>
        <v>88.307920553226722</v>
      </c>
      <c r="D141" s="392">
        <v>-374.86018120474796</v>
      </c>
      <c r="E141" s="393">
        <v>212.90830016299012</v>
      </c>
      <c r="F141" s="393">
        <v>254.64675768135317</v>
      </c>
      <c r="G141" s="393">
        <v>6366.4873188205593</v>
      </c>
      <c r="H141" s="393">
        <v>11287.823524159459</v>
      </c>
      <c r="I141" s="393">
        <v>12191.666782106711</v>
      </c>
      <c r="J141" s="393">
        <v>12768.323090695081</v>
      </c>
      <c r="K141" s="393">
        <v>13181.041479263549</v>
      </c>
      <c r="L141" s="393">
        <v>13674.699234576692</v>
      </c>
      <c r="M141" s="393">
        <v>14189.794849261591</v>
      </c>
      <c r="N141" s="394">
        <v>14727.733582814592</v>
      </c>
      <c r="O141" s="252">
        <v>15315.436679064747</v>
      </c>
      <c r="P141" s="252">
        <v>16006.202626463193</v>
      </c>
      <c r="Q141" s="252">
        <v>16734.031772444439</v>
      </c>
      <c r="R141" s="252">
        <v>17501.552011182874</v>
      </c>
      <c r="S141" s="252">
        <v>18234.571717315666</v>
      </c>
      <c r="T141" s="252">
        <v>18872.621770571786</v>
      </c>
      <c r="U141" s="252">
        <v>19539.535354796713</v>
      </c>
      <c r="V141" s="252">
        <v>20237.308614883073</v>
      </c>
      <c r="W141" s="252">
        <v>20703.473348086634</v>
      </c>
      <c r="X141" s="252">
        <v>0</v>
      </c>
      <c r="Y141" s="247"/>
      <c r="Z141" s="247"/>
      <c r="AA141" s="247"/>
    </row>
    <row r="142" spans="1:27" ht="12.75">
      <c r="A142" s="313" t="s">
        <v>32</v>
      </c>
      <c r="B142" s="388">
        <f>NPV(0.1,D142:Y142)</f>
        <v>100724.78031967006</v>
      </c>
      <c r="C142" s="388">
        <f>B142-B132</f>
        <v>-46.147658350135316</v>
      </c>
      <c r="D142" s="395">
        <v>2379.0762561010683</v>
      </c>
      <c r="E142" s="396">
        <v>3978.6594634574276</v>
      </c>
      <c r="F142" s="396">
        <v>3988.4811502043076</v>
      </c>
      <c r="G142" s="396">
        <v>16359.968703161559</v>
      </c>
      <c r="H142" s="396">
        <v>21341.485782019354</v>
      </c>
      <c r="I142" s="396">
        <v>16971.463610827144</v>
      </c>
      <c r="J142" s="396">
        <v>15115.290992543396</v>
      </c>
      <c r="K142" s="396">
        <v>15023.239164819748</v>
      </c>
      <c r="L142" s="396">
        <v>14961.832181032772</v>
      </c>
      <c r="M142" s="396">
        <v>14893.275756500547</v>
      </c>
      <c r="N142" s="397">
        <v>14791.683868617756</v>
      </c>
      <c r="O142" s="252">
        <v>14642.333544017089</v>
      </c>
      <c r="P142" s="252">
        <v>14524.921263099803</v>
      </c>
      <c r="Q142" s="252">
        <v>14393.395777938367</v>
      </c>
      <c r="R142" s="252">
        <v>14221.190653482634</v>
      </c>
      <c r="S142" s="252">
        <v>12146.576743305559</v>
      </c>
      <c r="T142" s="252">
        <v>10041.780652368121</v>
      </c>
      <c r="U142" s="252">
        <v>9699.8150743069928</v>
      </c>
      <c r="V142" s="252">
        <v>9319.8362523120995</v>
      </c>
      <c r="W142" s="252">
        <v>15264.763628303646</v>
      </c>
      <c r="X142" s="252">
        <v>0</v>
      </c>
      <c r="Y142" s="247"/>
      <c r="Z142" s="247"/>
      <c r="AA142" s="247"/>
    </row>
    <row r="143" spans="1:27" ht="12.75">
      <c r="A143" s="247"/>
      <c r="B143" s="247"/>
      <c r="C143" s="247"/>
      <c r="D143" s="247"/>
      <c r="E143" s="247"/>
      <c r="F143" s="247"/>
      <c r="G143" s="247"/>
      <c r="H143" s="247"/>
      <c r="I143" s="247"/>
      <c r="J143" s="247"/>
      <c r="K143" s="247"/>
      <c r="L143" s="247"/>
      <c r="M143" s="247"/>
      <c r="N143" s="247"/>
      <c r="O143" s="247"/>
      <c r="P143" s="247"/>
      <c r="Q143" s="247"/>
      <c r="R143" s="247"/>
      <c r="S143" s="247"/>
      <c r="T143" s="247"/>
      <c r="U143" s="247"/>
      <c r="V143" s="247"/>
      <c r="W143" s="247"/>
      <c r="X143" s="247"/>
      <c r="Y143" s="247"/>
      <c r="Z143" s="247"/>
      <c r="AA143" s="247"/>
    </row>
    <row r="144" spans="1:27" ht="12.75">
      <c r="A144" s="292" t="s">
        <v>486</v>
      </c>
      <c r="B144" s="247"/>
      <c r="C144" s="247"/>
      <c r="D144" s="247"/>
      <c r="E144" s="247"/>
      <c r="F144" s="247"/>
      <c r="G144" s="247"/>
      <c r="H144" s="247"/>
      <c r="I144" s="247"/>
      <c r="J144" s="247"/>
      <c r="K144" s="247"/>
      <c r="L144" s="247"/>
      <c r="M144" s="247"/>
      <c r="N144" s="247"/>
      <c r="O144" s="247"/>
      <c r="P144" s="247"/>
      <c r="Q144" s="247"/>
      <c r="R144" s="247"/>
      <c r="S144" s="247"/>
      <c r="T144" s="247"/>
      <c r="U144" s="247"/>
      <c r="V144" s="247"/>
      <c r="W144" s="247"/>
      <c r="X144" s="247"/>
      <c r="Y144" s="247"/>
      <c r="Z144" s="247"/>
      <c r="AA144" s="247"/>
    </row>
    <row r="145" spans="1:27" ht="12.75">
      <c r="A145" s="333">
        <v>36251</v>
      </c>
      <c r="B145" s="247"/>
      <c r="C145" s="247"/>
      <c r="D145" s="247"/>
      <c r="E145" s="247"/>
      <c r="F145" s="247"/>
      <c r="G145" s="247"/>
      <c r="H145" s="247"/>
      <c r="I145" s="247"/>
      <c r="J145" s="247"/>
      <c r="K145" s="247"/>
      <c r="L145" s="247"/>
      <c r="M145" s="247"/>
      <c r="N145" s="247"/>
      <c r="O145" s="247"/>
      <c r="P145" s="247"/>
      <c r="Q145" s="247"/>
      <c r="R145" s="247"/>
      <c r="S145" s="247"/>
      <c r="T145" s="247"/>
      <c r="U145" s="247"/>
      <c r="V145" s="247"/>
      <c r="W145" s="247"/>
      <c r="X145" s="247"/>
      <c r="Y145" s="247"/>
      <c r="Z145" s="247"/>
      <c r="AA145" s="247"/>
    </row>
    <row r="146" spans="1:27" ht="12.75">
      <c r="A146" s="308" t="s">
        <v>416</v>
      </c>
      <c r="B146" s="309">
        <v>69122.674213374296</v>
      </c>
      <c r="C146" s="247"/>
      <c r="D146" s="247"/>
      <c r="E146" s="247"/>
      <c r="F146" s="247"/>
      <c r="G146" s="247"/>
      <c r="H146" s="247"/>
      <c r="I146" s="247"/>
      <c r="J146" s="247"/>
      <c r="K146" s="247"/>
      <c r="L146" s="247"/>
      <c r="M146" s="247"/>
      <c r="N146" s="247"/>
      <c r="O146" s="247"/>
      <c r="P146" s="247"/>
      <c r="Q146" s="247"/>
      <c r="R146" s="247"/>
      <c r="S146" s="247"/>
      <c r="T146" s="247"/>
      <c r="U146" s="247"/>
      <c r="V146" s="247"/>
      <c r="W146" s="247"/>
      <c r="X146" s="247"/>
      <c r="Y146" s="247"/>
      <c r="Z146" s="247"/>
      <c r="AA146" s="247"/>
    </row>
    <row r="147" spans="1:27" ht="12.75">
      <c r="A147" s="310" t="s">
        <v>417</v>
      </c>
      <c r="B147" s="311">
        <v>105623.5550082502</v>
      </c>
      <c r="C147" s="247"/>
      <c r="D147" s="247"/>
      <c r="E147" s="247"/>
      <c r="F147" s="247"/>
      <c r="G147" s="247"/>
      <c r="H147" s="247"/>
      <c r="I147" s="247"/>
      <c r="J147" s="247"/>
      <c r="K147" s="247"/>
      <c r="L147" s="247"/>
      <c r="M147" s="247"/>
      <c r="N147" s="247"/>
      <c r="O147" s="247"/>
      <c r="P147" s="247"/>
      <c r="Q147" s="247"/>
      <c r="R147" s="247"/>
      <c r="S147" s="247"/>
      <c r="T147" s="247"/>
      <c r="U147" s="247"/>
      <c r="V147" s="247"/>
      <c r="W147" s="247"/>
      <c r="X147" s="247"/>
      <c r="Y147" s="247"/>
      <c r="Z147" s="247"/>
      <c r="AA147" s="247"/>
    </row>
    <row r="148" spans="1:27" ht="12.75">
      <c r="A148" s="312" t="s">
        <v>418</v>
      </c>
      <c r="B148" s="387" t="s">
        <v>469</v>
      </c>
      <c r="C148" s="387" t="s">
        <v>470</v>
      </c>
      <c r="D148" s="389">
        <v>2000</v>
      </c>
      <c r="E148" s="390">
        <v>2001</v>
      </c>
      <c r="F148" s="390">
        <v>2002</v>
      </c>
      <c r="G148" s="390">
        <v>2003</v>
      </c>
      <c r="H148" s="390">
        <v>2004</v>
      </c>
      <c r="I148" s="390">
        <v>2005</v>
      </c>
      <c r="J148" s="390">
        <v>2006</v>
      </c>
      <c r="K148" s="390">
        <v>2007</v>
      </c>
      <c r="L148" s="390">
        <v>2008</v>
      </c>
      <c r="M148" s="390">
        <v>2009</v>
      </c>
      <c r="N148" s="391">
        <v>2010</v>
      </c>
      <c r="O148" s="248">
        <v>2011</v>
      </c>
      <c r="P148" s="248">
        <v>2012</v>
      </c>
      <c r="Q148" s="248">
        <v>2013</v>
      </c>
      <c r="R148" s="248">
        <v>2014</v>
      </c>
      <c r="S148" s="248">
        <v>2015</v>
      </c>
      <c r="T148" s="248">
        <v>2016</v>
      </c>
      <c r="U148" s="248">
        <v>2017</v>
      </c>
      <c r="V148" s="248">
        <v>2018</v>
      </c>
      <c r="W148" s="248">
        <v>2019</v>
      </c>
      <c r="X148" s="248">
        <v>2020</v>
      </c>
      <c r="Y148" s="247"/>
      <c r="Z148" s="247"/>
      <c r="AA148" s="247"/>
    </row>
    <row r="149" spans="1:27" ht="12.75">
      <c r="A149" s="312" t="s">
        <v>419</v>
      </c>
      <c r="B149" s="388">
        <f>NPV(0.1,D149:Y149)</f>
        <v>466700.38285208913</v>
      </c>
      <c r="C149" s="388">
        <f>B149-B139</f>
        <v>0</v>
      </c>
      <c r="D149" s="392">
        <v>26849.785789466103</v>
      </c>
      <c r="E149" s="393">
        <v>37745.009818674866</v>
      </c>
      <c r="F149" s="393">
        <v>38030.918987905985</v>
      </c>
      <c r="G149" s="393">
        <v>48482.845979665472</v>
      </c>
      <c r="H149" s="393">
        <v>57110.412032713037</v>
      </c>
      <c r="I149" s="393">
        <v>58527.871734657048</v>
      </c>
      <c r="J149" s="393">
        <v>59499.062016886346</v>
      </c>
      <c r="K149" s="393">
        <v>60572.012723536449</v>
      </c>
      <c r="L149" s="393">
        <v>61744.260494551083</v>
      </c>
      <c r="M149" s="393">
        <v>63019.749203958942</v>
      </c>
      <c r="N149" s="394">
        <v>64425.824106416752</v>
      </c>
      <c r="O149" s="252">
        <v>66127.802009613908</v>
      </c>
      <c r="P149" s="252">
        <v>67972.793269249756</v>
      </c>
      <c r="Q149" s="252">
        <v>69895.835008644834</v>
      </c>
      <c r="R149" s="252">
        <v>71890.538969515634</v>
      </c>
      <c r="S149" s="252">
        <v>73924.110642897285</v>
      </c>
      <c r="T149" s="252">
        <v>75644.599251193416</v>
      </c>
      <c r="U149" s="252">
        <v>77542.00529396761</v>
      </c>
      <c r="V149" s="252">
        <v>79194.464882266868</v>
      </c>
      <c r="W149" s="252">
        <v>80841.702129451005</v>
      </c>
      <c r="X149" s="252">
        <v>20103.486715349016</v>
      </c>
      <c r="Y149" s="247"/>
      <c r="Z149" s="247"/>
      <c r="AA149" s="247"/>
    </row>
    <row r="150" spans="1:27" ht="12.75">
      <c r="A150" s="313" t="s">
        <v>420</v>
      </c>
      <c r="B150" s="388">
        <f>NPV(0.1,D150:Y150)</f>
        <v>207041.44869521007</v>
      </c>
      <c r="C150" s="388">
        <f>B150-B140</f>
        <v>1935.1119060805358</v>
      </c>
      <c r="D150" s="392">
        <v>17149.45252903143</v>
      </c>
      <c r="E150" s="393">
        <v>20827.014127194074</v>
      </c>
      <c r="F150" s="393">
        <v>21213.086985325495</v>
      </c>
      <c r="G150" s="393">
        <v>21524.830797350805</v>
      </c>
      <c r="H150" s="393">
        <v>21898.256661605479</v>
      </c>
      <c r="I150" s="393">
        <v>22358.837047937614</v>
      </c>
      <c r="J150" s="393">
        <v>22895.706389893163</v>
      </c>
      <c r="K150" s="393">
        <v>23542.090201438568</v>
      </c>
      <c r="L150" s="393">
        <v>24296.394575107322</v>
      </c>
      <c r="M150" s="393">
        <v>25163.425202914823</v>
      </c>
      <c r="N150" s="394">
        <v>26171.485928553542</v>
      </c>
      <c r="O150" s="252">
        <v>27329.493595112097</v>
      </c>
      <c r="P150" s="252">
        <v>28633.527437569908</v>
      </c>
      <c r="Q150" s="252">
        <v>30019.255419543621</v>
      </c>
      <c r="R150" s="252">
        <v>31481.008085044043</v>
      </c>
      <c r="S150" s="252">
        <v>32990.490983240554</v>
      </c>
      <c r="T150" s="252">
        <v>34561.359243853483</v>
      </c>
      <c r="U150" s="252">
        <v>36337.700704629322</v>
      </c>
      <c r="V150" s="252">
        <v>37899.493202652964</v>
      </c>
      <c r="W150" s="252">
        <v>39474.722845713768</v>
      </c>
      <c r="X150" s="252">
        <v>3032.1522190073556</v>
      </c>
      <c r="Y150" s="247"/>
      <c r="Z150" s="247"/>
      <c r="AA150" s="247"/>
    </row>
    <row r="151" spans="1:27" ht="12.75">
      <c r="A151" s="313" t="s">
        <v>35</v>
      </c>
      <c r="B151" s="388">
        <f>NPV(0.1,D151:Y151)</f>
        <v>82145.272411663216</v>
      </c>
      <c r="C151" s="388">
        <f>B151-B141</f>
        <v>-969.44053525970958</v>
      </c>
      <c r="D151" s="392">
        <v>-542.33868610937554</v>
      </c>
      <c r="E151" s="393">
        <v>65.981550260769083</v>
      </c>
      <c r="F151" s="393">
        <v>107.6247321282635</v>
      </c>
      <c r="G151" s="393">
        <v>6224.4110421745054</v>
      </c>
      <c r="H151" s="393">
        <v>11159.821928297908</v>
      </c>
      <c r="I151" s="393">
        <v>12072.01152919279</v>
      </c>
      <c r="J151" s="393">
        <v>12654.879223539358</v>
      </c>
      <c r="K151" s="393">
        <v>13073.897370754737</v>
      </c>
      <c r="L151" s="393">
        <v>13573.934671415696</v>
      </c>
      <c r="M151" s="393">
        <v>14095.511657104304</v>
      </c>
      <c r="N151" s="394">
        <v>14640.026077350456</v>
      </c>
      <c r="O151" s="252">
        <v>15234.42237725729</v>
      </c>
      <c r="P151" s="252">
        <v>15931.992790614097</v>
      </c>
      <c r="Q151" s="252">
        <v>16666.762221858444</v>
      </c>
      <c r="R151" s="252">
        <v>17441.353774690175</v>
      </c>
      <c r="S151" s="252">
        <v>18179.339178087626</v>
      </c>
      <c r="T151" s="252">
        <v>18820.189109126753</v>
      </c>
      <c r="U151" s="252">
        <v>19489.92687223151</v>
      </c>
      <c r="V151" s="252">
        <v>20190.550556382259</v>
      </c>
      <c r="W151" s="252">
        <v>20671.049705479614</v>
      </c>
      <c r="X151" s="252">
        <v>0</v>
      </c>
      <c r="Y151" s="247"/>
      <c r="Z151" s="247"/>
      <c r="AA151" s="247"/>
    </row>
    <row r="152" spans="1:27" ht="12.75">
      <c r="A152" s="313" t="s">
        <v>32</v>
      </c>
      <c r="B152" s="388">
        <f>NPV(0.1,D152:Y152)</f>
        <v>101711.56530942791</v>
      </c>
      <c r="C152" s="388">
        <f>B152-B142</f>
        <v>986.78498975785624</v>
      </c>
      <c r="D152" s="395">
        <v>2623.9842011153669</v>
      </c>
      <c r="E152" s="396">
        <v>4232.9457961847038</v>
      </c>
      <c r="F152" s="396">
        <v>4233.4918957941227</v>
      </c>
      <c r="G152" s="396">
        <v>16491.991194239199</v>
      </c>
      <c r="H152" s="396">
        <v>21469.577047103096</v>
      </c>
      <c r="I152" s="396">
        <v>16916.770897005914</v>
      </c>
      <c r="J152" s="396">
        <v>15195.908094849896</v>
      </c>
      <c r="K152" s="396">
        <v>15099.833608593177</v>
      </c>
      <c r="L152" s="396">
        <v>15034.323998704383</v>
      </c>
      <c r="M152" s="396">
        <v>14961.600712800882</v>
      </c>
      <c r="N152" s="397">
        <v>14855.752136136653</v>
      </c>
      <c r="O152" s="252">
        <v>14702.070240955885</v>
      </c>
      <c r="P152" s="252">
        <v>14580.225065898896</v>
      </c>
      <c r="Q152" s="252">
        <v>14444.179391062416</v>
      </c>
      <c r="R152" s="252">
        <v>14267.339348643842</v>
      </c>
      <c r="S152" s="252">
        <v>12187.243658033531</v>
      </c>
      <c r="T152" s="252">
        <v>10078.407160218261</v>
      </c>
      <c r="U152" s="252">
        <v>9734.6319390226563</v>
      </c>
      <c r="V152" s="252">
        <v>9352.8205968181173</v>
      </c>
      <c r="W152" s="252">
        <v>15178.675131712966</v>
      </c>
      <c r="X152" s="252">
        <v>0</v>
      </c>
      <c r="Y152" s="247"/>
      <c r="Z152" s="247"/>
      <c r="AA152" s="247"/>
    </row>
    <row r="153" spans="1:27" ht="12.75">
      <c r="A153" s="247"/>
      <c r="B153" s="247"/>
      <c r="C153" s="247"/>
      <c r="D153" s="247"/>
      <c r="E153" s="247"/>
      <c r="F153" s="247"/>
      <c r="G153" s="247"/>
      <c r="H153" s="247"/>
      <c r="I153" s="247"/>
      <c r="J153" s="247"/>
      <c r="K153" s="247"/>
      <c r="L153" s="247"/>
      <c r="M153" s="247"/>
      <c r="N153" s="247"/>
      <c r="O153" s="247"/>
      <c r="P153" s="247"/>
      <c r="Q153" s="247"/>
      <c r="R153" s="247"/>
      <c r="S153" s="247"/>
      <c r="T153" s="247"/>
      <c r="U153" s="247"/>
      <c r="V153" s="247"/>
      <c r="W153" s="247"/>
      <c r="X153" s="247"/>
      <c r="Y153" s="247"/>
      <c r="Z153" s="247"/>
      <c r="AA153" s="247"/>
    </row>
    <row r="154" spans="1:27" ht="12.75">
      <c r="A154" s="292" t="s">
        <v>487</v>
      </c>
      <c r="B154" s="247"/>
      <c r="C154" s="247"/>
      <c r="D154" s="247"/>
      <c r="E154" s="247"/>
      <c r="F154" s="247"/>
      <c r="G154" s="247"/>
      <c r="H154" s="247"/>
      <c r="I154" s="247"/>
      <c r="J154" s="247"/>
      <c r="K154" s="247"/>
      <c r="L154" s="247"/>
      <c r="M154" s="247"/>
      <c r="N154" s="247"/>
      <c r="O154" s="247"/>
      <c r="P154" s="247"/>
      <c r="Q154" s="247"/>
      <c r="R154" s="247"/>
      <c r="S154" s="247"/>
      <c r="T154" s="247"/>
      <c r="U154" s="247"/>
      <c r="V154" s="247"/>
      <c r="W154" s="247"/>
      <c r="X154" s="247"/>
      <c r="Y154" s="247"/>
      <c r="Z154" s="247"/>
      <c r="AA154" s="247"/>
    </row>
    <row r="155" spans="1:27" ht="12.75">
      <c r="A155" s="333">
        <v>36257</v>
      </c>
      <c r="B155" s="247"/>
      <c r="C155" s="247"/>
      <c r="D155" s="247"/>
      <c r="E155" s="247"/>
      <c r="F155" s="247"/>
      <c r="G155" s="247"/>
      <c r="H155" s="247"/>
      <c r="I155" s="247"/>
      <c r="J155" s="247"/>
      <c r="K155" s="247"/>
      <c r="L155" s="247"/>
      <c r="M155" s="247"/>
      <c r="N155" s="247"/>
      <c r="O155" s="247"/>
      <c r="P155" s="247"/>
      <c r="Q155" s="247"/>
      <c r="R155" s="247"/>
      <c r="S155" s="247"/>
      <c r="T155" s="247"/>
      <c r="U155" s="247"/>
      <c r="V155" s="247"/>
      <c r="W155" s="247"/>
      <c r="X155" s="247"/>
      <c r="Y155" s="247"/>
      <c r="Z155" s="247"/>
      <c r="AA155" s="247"/>
    </row>
    <row r="156" spans="1:27" ht="12.75">
      <c r="A156" s="308" t="s">
        <v>416</v>
      </c>
      <c r="B156" s="309">
        <v>71519.571099780369</v>
      </c>
      <c r="C156" s="247"/>
      <c r="D156" s="247"/>
      <c r="E156" s="247"/>
      <c r="F156" s="247"/>
      <c r="G156" s="247"/>
      <c r="H156" s="247"/>
      <c r="I156" s="247"/>
      <c r="J156" s="247"/>
      <c r="K156" s="247"/>
      <c r="L156" s="247"/>
      <c r="M156" s="247"/>
      <c r="N156" s="247"/>
      <c r="O156" s="247"/>
      <c r="P156" s="247"/>
      <c r="Q156" s="247"/>
      <c r="R156" s="247"/>
      <c r="S156" s="247"/>
      <c r="T156" s="247"/>
      <c r="U156" s="247"/>
      <c r="V156" s="247"/>
      <c r="W156" s="247"/>
      <c r="X156" s="247"/>
      <c r="Y156" s="247"/>
      <c r="Z156" s="247"/>
      <c r="AA156" s="247"/>
    </row>
    <row r="157" spans="1:27" ht="12.75">
      <c r="A157" s="310" t="s">
        <v>417</v>
      </c>
      <c r="B157" s="311">
        <v>109640.61622835154</v>
      </c>
      <c r="C157" s="247"/>
      <c r="D157" s="247"/>
      <c r="E157" s="247"/>
      <c r="F157" s="247"/>
      <c r="G157" s="247"/>
      <c r="H157" s="247"/>
      <c r="I157" s="247"/>
      <c r="J157" s="247"/>
      <c r="K157" s="247"/>
      <c r="L157" s="247"/>
      <c r="M157" s="247"/>
      <c r="N157" s="247"/>
      <c r="O157" s="247"/>
      <c r="P157" s="247"/>
      <c r="Q157" s="247"/>
      <c r="R157" s="247"/>
      <c r="S157" s="247"/>
      <c r="T157" s="247"/>
      <c r="U157" s="247"/>
      <c r="V157" s="247"/>
      <c r="W157" s="247"/>
      <c r="X157" s="247"/>
      <c r="Y157" s="247"/>
      <c r="Z157" s="247"/>
      <c r="AA157" s="247"/>
    </row>
    <row r="158" spans="1:27" ht="12.75">
      <c r="A158" s="312" t="s">
        <v>418</v>
      </c>
      <c r="B158" s="387" t="s">
        <v>469</v>
      </c>
      <c r="C158" s="387" t="s">
        <v>470</v>
      </c>
      <c r="D158" s="389">
        <v>2000</v>
      </c>
      <c r="E158" s="390">
        <v>2001</v>
      </c>
      <c r="F158" s="390">
        <v>2002</v>
      </c>
      <c r="G158" s="390">
        <v>2003</v>
      </c>
      <c r="H158" s="390">
        <v>2004</v>
      </c>
      <c r="I158" s="390">
        <v>2005</v>
      </c>
      <c r="J158" s="390">
        <v>2006</v>
      </c>
      <c r="K158" s="390">
        <v>2007</v>
      </c>
      <c r="L158" s="390">
        <v>2008</v>
      </c>
      <c r="M158" s="390">
        <v>2009</v>
      </c>
      <c r="N158" s="391">
        <v>2010</v>
      </c>
      <c r="O158" s="248">
        <v>2011</v>
      </c>
      <c r="P158" s="248">
        <v>2012</v>
      </c>
      <c r="Q158" s="248">
        <v>2013</v>
      </c>
      <c r="R158" s="248">
        <v>2014</v>
      </c>
      <c r="S158" s="248">
        <v>2015</v>
      </c>
      <c r="T158" s="248">
        <v>2016</v>
      </c>
      <c r="U158" s="248">
        <v>2017</v>
      </c>
      <c r="V158" s="248">
        <v>2018</v>
      </c>
      <c r="W158" s="248">
        <v>2019</v>
      </c>
      <c r="X158" s="248">
        <v>2020</v>
      </c>
      <c r="Y158" s="247"/>
      <c r="Z158" s="247"/>
      <c r="AA158" s="247"/>
    </row>
    <row r="159" spans="1:27" ht="12.75">
      <c r="A159" s="312" t="s">
        <v>419</v>
      </c>
      <c r="B159" s="388">
        <f>NPV(0.1,D159:Y159)</f>
        <v>475039.07763948146</v>
      </c>
      <c r="C159" s="388">
        <f>B159-B149</f>
        <v>8338.6947873923345</v>
      </c>
      <c r="D159" s="392">
        <v>26849.785789466103</v>
      </c>
      <c r="E159" s="393">
        <v>37745.009818674866</v>
      </c>
      <c r="F159" s="393">
        <v>38030.918987905985</v>
      </c>
      <c r="G159" s="393">
        <v>48482.845979665472</v>
      </c>
      <c r="H159" s="393">
        <v>57110.412032713037</v>
      </c>
      <c r="I159" s="393">
        <v>58527.871734657048</v>
      </c>
      <c r="J159" s="393">
        <v>59499.062016886346</v>
      </c>
      <c r="K159" s="393">
        <v>60572.012723536449</v>
      </c>
      <c r="L159" s="393">
        <v>61744.260494551083</v>
      </c>
      <c r="M159" s="393">
        <v>63019.749203958942</v>
      </c>
      <c r="N159" s="394">
        <v>64425.824106416752</v>
      </c>
      <c r="O159" s="252">
        <v>66127.802009613908</v>
      </c>
      <c r="P159" s="252">
        <v>67972.793269249756</v>
      </c>
      <c r="Q159" s="252">
        <v>69895.835008644834</v>
      </c>
      <c r="R159" s="252">
        <v>71890.538969515634</v>
      </c>
      <c r="S159" s="252">
        <v>73924.110642897285</v>
      </c>
      <c r="T159" s="252">
        <v>75644.599251193416</v>
      </c>
      <c r="U159" s="252">
        <v>77542.00529396761</v>
      </c>
      <c r="V159" s="252">
        <v>79194.464882266868</v>
      </c>
      <c r="W159" s="252">
        <v>80841.702129451005</v>
      </c>
      <c r="X159" s="252">
        <v>81811.912350935105</v>
      </c>
      <c r="Y159" s="247"/>
      <c r="Z159" s="247"/>
      <c r="AA159" s="247"/>
    </row>
    <row r="160" spans="1:27" ht="12.75">
      <c r="A160" s="313" t="s">
        <v>420</v>
      </c>
      <c r="B160" s="388">
        <f>NPV(0.1,D160:Y160)</f>
        <v>212094.7580619113</v>
      </c>
      <c r="C160" s="388">
        <f>B160-B150</f>
        <v>5053.309366701229</v>
      </c>
      <c r="D160" s="392">
        <v>17149.45252903143</v>
      </c>
      <c r="E160" s="393">
        <v>20827.014127194074</v>
      </c>
      <c r="F160" s="393">
        <v>21213.086985325495</v>
      </c>
      <c r="G160" s="393">
        <v>21524.830797350805</v>
      </c>
      <c r="H160" s="393">
        <v>21898.256661605479</v>
      </c>
      <c r="I160" s="393">
        <v>22358.837047937614</v>
      </c>
      <c r="J160" s="393">
        <v>22895.706389893163</v>
      </c>
      <c r="K160" s="393">
        <v>23542.090201438568</v>
      </c>
      <c r="L160" s="393">
        <v>24296.394575107322</v>
      </c>
      <c r="M160" s="393">
        <v>25163.425202914823</v>
      </c>
      <c r="N160" s="394">
        <v>26171.485928553542</v>
      </c>
      <c r="O160" s="252">
        <v>27329.493595112097</v>
      </c>
      <c r="P160" s="252">
        <v>28633.527437569908</v>
      </c>
      <c r="Q160" s="252">
        <v>30019.255419543621</v>
      </c>
      <c r="R160" s="252">
        <v>31481.008085044043</v>
      </c>
      <c r="S160" s="252">
        <v>32990.490983240554</v>
      </c>
      <c r="T160" s="252">
        <v>34561.359243853483</v>
      </c>
      <c r="U160" s="252">
        <v>36337.700704629322</v>
      </c>
      <c r="V160" s="252">
        <v>37899.493202652964</v>
      </c>
      <c r="W160" s="252">
        <v>39474.722845713768</v>
      </c>
      <c r="X160" s="252">
        <v>40427.904578257338</v>
      </c>
      <c r="Y160" s="247"/>
      <c r="Z160" s="247"/>
      <c r="AA160" s="247"/>
    </row>
    <row r="161" spans="1:27" ht="12.75">
      <c r="A161" s="313" t="s">
        <v>35</v>
      </c>
      <c r="B161" s="388">
        <f>NPV(0.1,D161:Y161)</f>
        <v>85045.483758452188</v>
      </c>
      <c r="C161" s="388">
        <f>B161-B151</f>
        <v>2900.2113467889722</v>
      </c>
      <c r="D161" s="392">
        <v>-542.33868610937554</v>
      </c>
      <c r="E161" s="393">
        <v>65.981550260769083</v>
      </c>
      <c r="F161" s="393">
        <v>107.6247321282635</v>
      </c>
      <c r="G161" s="393">
        <v>6224.4110421745054</v>
      </c>
      <c r="H161" s="393">
        <v>11159.821928297908</v>
      </c>
      <c r="I161" s="393">
        <v>12072.01152919279</v>
      </c>
      <c r="J161" s="393">
        <v>12654.879223539358</v>
      </c>
      <c r="K161" s="393">
        <v>13073.897370754737</v>
      </c>
      <c r="L161" s="393">
        <v>13573.934671415696</v>
      </c>
      <c r="M161" s="393">
        <v>14095.511657104304</v>
      </c>
      <c r="N161" s="394">
        <v>14640.026077350456</v>
      </c>
      <c r="O161" s="252">
        <v>15234.42237725729</v>
      </c>
      <c r="P161" s="252">
        <v>15931.992790614097</v>
      </c>
      <c r="Q161" s="252">
        <v>16666.762221858444</v>
      </c>
      <c r="R161" s="252">
        <v>17441.353774690175</v>
      </c>
      <c r="S161" s="252">
        <v>18179.339178087626</v>
      </c>
      <c r="T161" s="252">
        <v>18820.189109126753</v>
      </c>
      <c r="U161" s="252">
        <v>19489.92687223151</v>
      </c>
      <c r="V161" s="252">
        <v>20190.550556382259</v>
      </c>
      <c r="W161" s="252">
        <v>20671.049705479614</v>
      </c>
      <c r="X161" s="252">
        <v>21462.288857411993</v>
      </c>
      <c r="Y161" s="247"/>
      <c r="Z161" s="247"/>
      <c r="AA161" s="247"/>
    </row>
    <row r="162" spans="1:27" ht="12.75">
      <c r="A162" s="313" t="s">
        <v>32</v>
      </c>
      <c r="B162" s="388">
        <f>NPV(0.1,D162:Y162)</f>
        <v>105054.74243028478</v>
      </c>
      <c r="C162" s="388">
        <f>B162-B152</f>
        <v>3343.177120856868</v>
      </c>
      <c r="D162" s="395">
        <v>2623.9842011153669</v>
      </c>
      <c r="E162" s="396">
        <v>4232.9457961847038</v>
      </c>
      <c r="F162" s="396">
        <v>4233.4918957941227</v>
      </c>
      <c r="G162" s="396">
        <v>16491.991194239199</v>
      </c>
      <c r="H162" s="396">
        <v>21469.577047103096</v>
      </c>
      <c r="I162" s="396">
        <v>16916.770897005914</v>
      </c>
      <c r="J162" s="396">
        <v>15195.908094849896</v>
      </c>
      <c r="K162" s="396">
        <v>15099.833608593177</v>
      </c>
      <c r="L162" s="396">
        <v>15034.323998704383</v>
      </c>
      <c r="M162" s="396">
        <v>14961.600712800882</v>
      </c>
      <c r="N162" s="397">
        <v>14855.752136136653</v>
      </c>
      <c r="O162" s="252">
        <v>14702.070240955885</v>
      </c>
      <c r="P162" s="252">
        <v>14580.225065898896</v>
      </c>
      <c r="Q162" s="252">
        <v>14444.179391062416</v>
      </c>
      <c r="R162" s="252">
        <v>14267.339348643842</v>
      </c>
      <c r="S162" s="252">
        <v>12187.243658033531</v>
      </c>
      <c r="T162" s="252">
        <v>10078.407160218261</v>
      </c>
      <c r="U162" s="252">
        <v>9734.6319390226563</v>
      </c>
      <c r="V162" s="252">
        <v>9352.8205968181173</v>
      </c>
      <c r="W162" s="252">
        <v>15178.675131712966</v>
      </c>
      <c r="X162" s="252">
        <v>24740.346302266262</v>
      </c>
      <c r="Y162" s="247"/>
      <c r="Z162" s="247"/>
      <c r="AA162" s="247"/>
    </row>
    <row r="163" spans="1:27" ht="12.75">
      <c r="A163" s="247"/>
      <c r="B163" s="247"/>
      <c r="C163" s="247"/>
      <c r="D163" s="247"/>
      <c r="E163" s="247"/>
      <c r="F163" s="247"/>
      <c r="G163" s="247"/>
      <c r="H163" s="247"/>
      <c r="I163" s="247"/>
      <c r="J163" s="247"/>
      <c r="K163" s="247"/>
      <c r="L163" s="247"/>
      <c r="M163" s="247"/>
      <c r="N163" s="247"/>
      <c r="O163" s="247"/>
      <c r="P163" s="247"/>
      <c r="Q163" s="247"/>
      <c r="R163" s="247"/>
      <c r="S163" s="247"/>
      <c r="T163" s="247"/>
      <c r="U163" s="247"/>
      <c r="V163" s="247"/>
      <c r="W163" s="247"/>
      <c r="X163" s="247"/>
      <c r="Y163" s="247"/>
      <c r="Z163" s="247"/>
      <c r="AA163" s="247"/>
    </row>
    <row r="164" spans="1:27" ht="12.75">
      <c r="A164" s="292" t="s">
        <v>491</v>
      </c>
      <c r="B164" s="247"/>
      <c r="C164" s="247"/>
      <c r="D164" s="247"/>
      <c r="E164" s="247"/>
      <c r="F164" s="247"/>
      <c r="G164" s="247"/>
      <c r="H164" s="247"/>
      <c r="I164" s="247"/>
      <c r="J164" s="247"/>
      <c r="K164" s="247"/>
      <c r="L164" s="247"/>
      <c r="M164" s="247"/>
      <c r="N164" s="247"/>
      <c r="O164" s="247"/>
      <c r="P164" s="247"/>
      <c r="Q164" s="247"/>
      <c r="R164" s="247"/>
      <c r="S164" s="247"/>
      <c r="T164" s="247"/>
      <c r="U164" s="247"/>
      <c r="V164" s="247"/>
      <c r="W164" s="247"/>
      <c r="X164" s="247"/>
      <c r="Y164" s="247"/>
      <c r="Z164" s="247"/>
      <c r="AA164" s="247"/>
    </row>
    <row r="165" spans="1:27" ht="12.75">
      <c r="A165" s="333">
        <v>36257</v>
      </c>
      <c r="B165" s="247"/>
      <c r="C165" s="247"/>
      <c r="D165" s="247"/>
      <c r="E165" s="247"/>
      <c r="F165" s="247"/>
      <c r="G165" s="247"/>
      <c r="H165" s="247"/>
      <c r="I165" s="247"/>
      <c r="J165" s="247"/>
      <c r="K165" s="247"/>
      <c r="L165" s="247"/>
      <c r="M165" s="247"/>
      <c r="N165" s="247"/>
      <c r="O165" s="247"/>
      <c r="P165" s="247"/>
      <c r="Q165" s="247"/>
      <c r="R165" s="247"/>
      <c r="S165" s="247"/>
      <c r="T165" s="247"/>
      <c r="U165" s="247"/>
      <c r="V165" s="247"/>
      <c r="W165" s="247"/>
      <c r="X165" s="247"/>
      <c r="Y165" s="247"/>
      <c r="Z165" s="247"/>
      <c r="AA165" s="247"/>
    </row>
    <row r="166" spans="1:27" ht="12.75">
      <c r="A166" s="308" t="s">
        <v>416</v>
      </c>
      <c r="B166" s="309">
        <v>71358.99245183653</v>
      </c>
      <c r="C166" s="247"/>
      <c r="D166" s="247"/>
      <c r="E166" s="247"/>
      <c r="F166" s="247"/>
      <c r="G166" s="247"/>
      <c r="H166" s="247"/>
      <c r="I166" s="247"/>
      <c r="J166" s="247"/>
      <c r="K166" s="247"/>
      <c r="L166" s="247"/>
      <c r="M166" s="247"/>
      <c r="N166" s="247"/>
      <c r="O166" s="247"/>
      <c r="P166" s="247"/>
      <c r="Q166" s="247"/>
      <c r="R166" s="247"/>
      <c r="S166" s="247"/>
      <c r="T166" s="247"/>
      <c r="U166" s="247"/>
      <c r="V166" s="247"/>
      <c r="W166" s="247"/>
      <c r="X166" s="247"/>
      <c r="Y166" s="247"/>
      <c r="Z166" s="247"/>
      <c r="AA166" s="247"/>
    </row>
    <row r="167" spans="1:27" ht="12.75">
      <c r="A167" s="310" t="s">
        <v>417</v>
      </c>
      <c r="B167" s="311">
        <v>109482.01364560054</v>
      </c>
      <c r="C167" s="247"/>
      <c r="D167" s="247"/>
      <c r="E167" s="247"/>
      <c r="F167" s="247"/>
      <c r="G167" s="247"/>
      <c r="H167" s="247"/>
      <c r="I167" s="247"/>
      <c r="J167" s="247"/>
      <c r="K167" s="247"/>
      <c r="L167" s="247"/>
      <c r="M167" s="247"/>
      <c r="N167" s="247"/>
      <c r="O167" s="247"/>
      <c r="P167" s="247"/>
      <c r="Q167" s="247"/>
      <c r="R167" s="247"/>
      <c r="S167" s="247"/>
      <c r="T167" s="247"/>
      <c r="U167" s="247"/>
      <c r="V167" s="247"/>
      <c r="W167" s="247"/>
      <c r="X167" s="247"/>
      <c r="Y167" s="247"/>
      <c r="Z167" s="247"/>
      <c r="AA167" s="247"/>
    </row>
    <row r="168" spans="1:27" ht="12.75">
      <c r="A168" s="312" t="s">
        <v>418</v>
      </c>
      <c r="B168" s="387" t="s">
        <v>469</v>
      </c>
      <c r="C168" s="387" t="s">
        <v>470</v>
      </c>
      <c r="D168" s="389">
        <v>2000</v>
      </c>
      <c r="E168" s="390">
        <v>2001</v>
      </c>
      <c r="F168" s="390">
        <v>2002</v>
      </c>
      <c r="G168" s="390">
        <v>2003</v>
      </c>
      <c r="H168" s="390">
        <v>2004</v>
      </c>
      <c r="I168" s="390">
        <v>2005</v>
      </c>
      <c r="J168" s="390">
        <v>2006</v>
      </c>
      <c r="K168" s="390">
        <v>2007</v>
      </c>
      <c r="L168" s="390">
        <v>2008</v>
      </c>
      <c r="M168" s="390">
        <v>2009</v>
      </c>
      <c r="N168" s="391">
        <v>2010</v>
      </c>
      <c r="O168" s="248">
        <v>2011</v>
      </c>
      <c r="P168" s="248">
        <v>2012</v>
      </c>
      <c r="Q168" s="248">
        <v>2013</v>
      </c>
      <c r="R168" s="248">
        <v>2014</v>
      </c>
      <c r="S168" s="248">
        <v>2015</v>
      </c>
      <c r="T168" s="248">
        <v>2016</v>
      </c>
      <c r="U168" s="248">
        <v>2017</v>
      </c>
      <c r="V168" s="248">
        <v>2018</v>
      </c>
      <c r="W168" s="248">
        <v>2019</v>
      </c>
      <c r="X168" s="248">
        <v>2020</v>
      </c>
      <c r="Y168" s="247"/>
      <c r="Z168" s="247"/>
      <c r="AA168" s="247"/>
    </row>
    <row r="169" spans="1:27" ht="12.75">
      <c r="A169" s="312" t="s">
        <v>419</v>
      </c>
      <c r="B169" s="388">
        <f>NPV(0.1,D169:Y169)</f>
        <v>475039.19507982006</v>
      </c>
      <c r="C169" s="388">
        <f>B169-B159</f>
        <v>0.1174403385957703</v>
      </c>
      <c r="D169" s="392">
        <v>26849.792591393169</v>
      </c>
      <c r="E169" s="393">
        <v>37745.021828934667</v>
      </c>
      <c r="F169" s="393">
        <v>38030.931358473572</v>
      </c>
      <c r="G169" s="393">
        <v>48482.858721350087</v>
      </c>
      <c r="H169" s="393">
        <v>57110.425156648198</v>
      </c>
      <c r="I169" s="393">
        <v>58527.885252310269</v>
      </c>
      <c r="J169" s="393">
        <v>59499.07594006916</v>
      </c>
      <c r="K169" s="393">
        <v>60572.027064414753</v>
      </c>
      <c r="L169" s="393">
        <v>61744.275265655728</v>
      </c>
      <c r="M169" s="393">
        <v>63019.764418196719</v>
      </c>
      <c r="N169" s="394">
        <v>64425.839777081666</v>
      </c>
      <c r="O169" s="252">
        <v>66127.818150398773</v>
      </c>
      <c r="P169" s="252">
        <v>67972.809894258171</v>
      </c>
      <c r="Q169" s="252">
        <v>69895.852132403495</v>
      </c>
      <c r="R169" s="252">
        <v>71890.556606987055</v>
      </c>
      <c r="S169" s="252">
        <v>73924.12880949286</v>
      </c>
      <c r="T169" s="252">
        <v>75644.617962786841</v>
      </c>
      <c r="U169" s="252">
        <v>77542.024566908847</v>
      </c>
      <c r="V169" s="252">
        <v>79194.484733396341</v>
      </c>
      <c r="W169" s="252">
        <v>80841.722576114378</v>
      </c>
      <c r="X169" s="252">
        <v>81811.912350935105</v>
      </c>
      <c r="Y169" s="247"/>
      <c r="Z169" s="247"/>
      <c r="AA169" s="247"/>
    </row>
    <row r="170" spans="1:27" ht="12.75">
      <c r="A170" s="313" t="s">
        <v>420</v>
      </c>
      <c r="B170" s="388">
        <f>NPV(0.1,D170:Y170)</f>
        <v>212252.38531856678</v>
      </c>
      <c r="C170" s="388">
        <f>B170-B160</f>
        <v>157.62725665548351</v>
      </c>
      <c r="D170" s="392">
        <v>17155.535854796613</v>
      </c>
      <c r="E170" s="393">
        <v>20837.658095887626</v>
      </c>
      <c r="F170" s="393">
        <v>21225.082425761189</v>
      </c>
      <c r="G170" s="393">
        <v>21538.186187974574</v>
      </c>
      <c r="H170" s="393">
        <v>21912.980458482434</v>
      </c>
      <c r="I170" s="393">
        <v>22375.263313068208</v>
      </c>
      <c r="J170" s="393">
        <v>22913.471897680567</v>
      </c>
      <c r="K170" s="393">
        <v>23561.202944680532</v>
      </c>
      <c r="L170" s="393">
        <v>24316.862915434529</v>
      </c>
      <c r="M170" s="393">
        <v>25185.25762375788</v>
      </c>
      <c r="N170" s="394">
        <v>26194.691296894973</v>
      </c>
      <c r="O170" s="252">
        <v>27354.080914894908</v>
      </c>
      <c r="P170" s="252">
        <v>28659.506111904382</v>
      </c>
      <c r="Q170" s="252">
        <v>30046.635004584365</v>
      </c>
      <c r="R170" s="252">
        <v>31509.798552679295</v>
      </c>
      <c r="S170" s="252">
        <v>33020.721292463691</v>
      </c>
      <c r="T170" s="252">
        <v>34593.058659824899</v>
      </c>
      <c r="U170" s="252">
        <v>36370.880054434856</v>
      </c>
      <c r="V170" s="252">
        <v>37934.163638191036</v>
      </c>
      <c r="W170" s="252">
        <v>39510.904440790779</v>
      </c>
      <c r="X170" s="252">
        <v>40458.695595873811</v>
      </c>
      <c r="Y170" s="247"/>
      <c r="Z170" s="247"/>
      <c r="AA170" s="247"/>
    </row>
    <row r="171" spans="1:27" ht="12.75">
      <c r="A171" s="313" t="s">
        <v>35</v>
      </c>
      <c r="B171" s="388">
        <f>NPV(0.1,D171:Y171)</f>
        <v>89750.598375795656</v>
      </c>
      <c r="C171" s="388">
        <f>B171-B161</f>
        <v>4705.1146173434681</v>
      </c>
      <c r="D171" s="392">
        <v>211.46245468960586</v>
      </c>
      <c r="E171" s="393">
        <v>591.28386113171268</v>
      </c>
      <c r="F171" s="393">
        <v>632.05610720972641</v>
      </c>
      <c r="G171" s="393">
        <v>6747.9133449260862</v>
      </c>
      <c r="H171" s="393">
        <v>11682.561995031861</v>
      </c>
      <c r="I171" s="393">
        <v>12593.768322696222</v>
      </c>
      <c r="J171" s="393">
        <v>13175.839431248887</v>
      </c>
      <c r="K171" s="393">
        <v>13594.030831909144</v>
      </c>
      <c r="L171" s="393">
        <v>14093.208821101325</v>
      </c>
      <c r="M171" s="393">
        <v>14613.891491801518</v>
      </c>
      <c r="N171" s="394">
        <v>15157.473807225406</v>
      </c>
      <c r="O171" s="252">
        <v>15750.897361293148</v>
      </c>
      <c r="P171" s="252">
        <v>16447.451156059171</v>
      </c>
      <c r="Q171" s="252">
        <v>17181.156763891151</v>
      </c>
      <c r="R171" s="252">
        <v>17954.633537568589</v>
      </c>
      <c r="S171" s="252">
        <v>18691.438091470307</v>
      </c>
      <c r="T171" s="252">
        <v>19331.03646326928</v>
      </c>
      <c r="U171" s="252">
        <v>19999.458134190732</v>
      </c>
      <c r="V171" s="252">
        <v>20698.696146630093</v>
      </c>
      <c r="W171" s="252">
        <v>21177.839218122288</v>
      </c>
      <c r="X171" s="252">
        <v>21971.642000923348</v>
      </c>
      <c r="Y171" s="247"/>
      <c r="Z171" s="247"/>
      <c r="AA171" s="247"/>
    </row>
    <row r="172" spans="1:27" ht="12.75">
      <c r="A172" s="313" t="s">
        <v>32</v>
      </c>
      <c r="B172" s="388">
        <f>NPV(0.1,D172:Y172)</f>
        <v>104972.07169536376</v>
      </c>
      <c r="C172" s="388">
        <f>B172-B162</f>
        <v>-82.670734921019175</v>
      </c>
      <c r="D172" s="395">
        <v>2622.4745844954609</v>
      </c>
      <c r="E172" s="396">
        <v>4230.3082526501776</v>
      </c>
      <c r="F172" s="396">
        <v>4230.5425573132052</v>
      </c>
      <c r="G172" s="396">
        <v>16483.801590210507</v>
      </c>
      <c r="H172" s="396">
        <v>21460.56662867283</v>
      </c>
      <c r="I172" s="396">
        <v>16751.943710408392</v>
      </c>
      <c r="J172" s="396">
        <v>15207.505930248373</v>
      </c>
      <c r="K172" s="396">
        <v>15111.213165061659</v>
      </c>
      <c r="L172" s="396">
        <v>15045.441762879176</v>
      </c>
      <c r="M172" s="396">
        <v>14972.535836405867</v>
      </c>
      <c r="N172" s="397">
        <v>14866.464339266888</v>
      </c>
      <c r="O172" s="252">
        <v>14712.642178942395</v>
      </c>
      <c r="P172" s="252">
        <v>14590.620254548321</v>
      </c>
      <c r="Q172" s="252">
        <v>14454.484597244616</v>
      </c>
      <c r="R172" s="252">
        <v>14277.522541162807</v>
      </c>
      <c r="S172" s="252">
        <v>12188.432255719887</v>
      </c>
      <c r="T172" s="252">
        <v>10070.631469665313</v>
      </c>
      <c r="U172" s="252">
        <v>9726.859352636684</v>
      </c>
      <c r="V172" s="252">
        <v>9345.0915248022393</v>
      </c>
      <c r="W172" s="252">
        <v>15167.052310862036</v>
      </c>
      <c r="X172" s="252">
        <v>24721.983309135238</v>
      </c>
      <c r="Y172" s="247"/>
      <c r="Z172" s="247"/>
      <c r="AA172" s="247"/>
    </row>
    <row r="173" spans="1:27" ht="12.75">
      <c r="A173" s="247"/>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row>
    <row r="174" spans="1:27" ht="12.75">
      <c r="A174" s="292" t="s">
        <v>492</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row>
    <row r="175" spans="1:27" ht="12.75">
      <c r="A175" s="333">
        <v>36257</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row>
    <row r="176" spans="1:27" ht="12.75">
      <c r="A176" s="308" t="s">
        <v>416</v>
      </c>
      <c r="B176" s="309">
        <v>71526.957234969028</v>
      </c>
      <c r="C176" s="247"/>
      <c r="D176" s="247"/>
      <c r="E176" s="247"/>
      <c r="F176" s="247"/>
      <c r="G176" s="247"/>
      <c r="H176" s="247"/>
      <c r="I176" s="247"/>
      <c r="J176" s="247"/>
      <c r="K176" s="247"/>
      <c r="L176" s="247"/>
      <c r="M176" s="247"/>
      <c r="N176" s="247"/>
      <c r="O176" s="247"/>
      <c r="P176" s="247"/>
      <c r="Q176" s="247"/>
      <c r="R176" s="247"/>
      <c r="S176" s="247"/>
      <c r="T176" s="247"/>
      <c r="U176" s="247"/>
      <c r="V176" s="247"/>
      <c r="W176" s="247"/>
      <c r="X176" s="247"/>
      <c r="Y176" s="247"/>
      <c r="Z176" s="247"/>
      <c r="AA176" s="247"/>
    </row>
    <row r="177" spans="1:27" ht="12.75">
      <c r="A177" s="310" t="s">
        <v>417</v>
      </c>
      <c r="B177" s="311">
        <v>109818.18023186411</v>
      </c>
      <c r="C177" s="247"/>
      <c r="D177" s="247"/>
      <c r="E177" s="247"/>
      <c r="F177" s="247"/>
      <c r="G177" s="247"/>
      <c r="H177" s="247"/>
      <c r="I177" s="247"/>
      <c r="J177" s="247"/>
      <c r="K177" s="247"/>
      <c r="L177" s="247"/>
      <c r="M177" s="247"/>
      <c r="N177" s="247"/>
      <c r="O177" s="247"/>
      <c r="P177" s="247"/>
      <c r="Q177" s="247"/>
      <c r="R177" s="247"/>
      <c r="S177" s="247"/>
      <c r="T177" s="247"/>
      <c r="U177" s="247"/>
      <c r="V177" s="247"/>
      <c r="W177" s="247"/>
      <c r="X177" s="247"/>
      <c r="Y177" s="247"/>
      <c r="Z177" s="247"/>
      <c r="AA177" s="247"/>
    </row>
    <row r="178" spans="1:27" ht="12.75">
      <c r="A178" s="312" t="s">
        <v>418</v>
      </c>
      <c r="B178" s="387" t="s">
        <v>469</v>
      </c>
      <c r="C178" s="387" t="s">
        <v>470</v>
      </c>
      <c r="D178" s="389">
        <v>2000</v>
      </c>
      <c r="E178" s="390">
        <v>2001</v>
      </c>
      <c r="F178" s="390">
        <v>2002</v>
      </c>
      <c r="G178" s="390">
        <v>2003</v>
      </c>
      <c r="H178" s="390">
        <v>2004</v>
      </c>
      <c r="I178" s="390">
        <v>2005</v>
      </c>
      <c r="J178" s="390">
        <v>2006</v>
      </c>
      <c r="K178" s="390">
        <v>2007</v>
      </c>
      <c r="L178" s="390">
        <v>2008</v>
      </c>
      <c r="M178" s="390">
        <v>2009</v>
      </c>
      <c r="N178" s="391">
        <v>2010</v>
      </c>
      <c r="O178" s="248">
        <v>2011</v>
      </c>
      <c r="P178" s="248">
        <v>2012</v>
      </c>
      <c r="Q178" s="248">
        <v>2013</v>
      </c>
      <c r="R178" s="248">
        <v>2014</v>
      </c>
      <c r="S178" s="248">
        <v>2015</v>
      </c>
      <c r="T178" s="248">
        <v>2016</v>
      </c>
      <c r="U178" s="248">
        <v>2017</v>
      </c>
      <c r="V178" s="248">
        <v>2018</v>
      </c>
      <c r="W178" s="248">
        <v>2019</v>
      </c>
      <c r="X178" s="248">
        <v>2020</v>
      </c>
      <c r="Y178" s="247"/>
      <c r="Z178" s="247"/>
      <c r="AA178" s="247"/>
    </row>
    <row r="179" spans="1:27" ht="12.75">
      <c r="A179" s="312" t="s">
        <v>419</v>
      </c>
      <c r="B179" s="388">
        <f>NPV(0.1,D179:Y179)</f>
        <v>475039.19507982006</v>
      </c>
      <c r="C179" s="388">
        <f>B179-B169</f>
        <v>0</v>
      </c>
      <c r="D179" s="392">
        <v>26849.792591393169</v>
      </c>
      <c r="E179" s="393">
        <v>37745.021828934667</v>
      </c>
      <c r="F179" s="393">
        <v>38030.931358473572</v>
      </c>
      <c r="G179" s="393">
        <v>48482.858721350087</v>
      </c>
      <c r="H179" s="393">
        <v>57110.425156648198</v>
      </c>
      <c r="I179" s="393">
        <v>58527.885252310269</v>
      </c>
      <c r="J179" s="393">
        <v>59499.07594006916</v>
      </c>
      <c r="K179" s="393">
        <v>60572.027064414753</v>
      </c>
      <c r="L179" s="393">
        <v>61744.275265655728</v>
      </c>
      <c r="M179" s="393">
        <v>63019.764418196719</v>
      </c>
      <c r="N179" s="394">
        <v>64425.839777081666</v>
      </c>
      <c r="O179" s="252">
        <v>66127.818150398773</v>
      </c>
      <c r="P179" s="252">
        <v>67972.809894258171</v>
      </c>
      <c r="Q179" s="252">
        <v>69895.852132403495</v>
      </c>
      <c r="R179" s="252">
        <v>71890.556606987055</v>
      </c>
      <c r="S179" s="252">
        <v>73924.12880949286</v>
      </c>
      <c r="T179" s="252">
        <v>75644.617962786841</v>
      </c>
      <c r="U179" s="252">
        <v>77542.024566908847</v>
      </c>
      <c r="V179" s="252">
        <v>79194.484733396341</v>
      </c>
      <c r="W179" s="252">
        <v>80841.722576114378</v>
      </c>
      <c r="X179" s="252">
        <v>81811.912350935105</v>
      </c>
      <c r="Y179" s="247"/>
      <c r="Z179" s="247"/>
      <c r="AA179" s="247"/>
    </row>
    <row r="180" spans="1:27" ht="12.75">
      <c r="A180" s="313" t="s">
        <v>420</v>
      </c>
      <c r="B180" s="388">
        <f>NPV(0.1,D180:Y180)</f>
        <v>212252.38531856678</v>
      </c>
      <c r="C180" s="388">
        <f>B180-B170</f>
        <v>0</v>
      </c>
      <c r="D180" s="392">
        <v>17155.535854796613</v>
      </c>
      <c r="E180" s="393">
        <v>20837.658095887626</v>
      </c>
      <c r="F180" s="393">
        <v>21225.082425761189</v>
      </c>
      <c r="G180" s="393">
        <v>21538.186187974574</v>
      </c>
      <c r="H180" s="393">
        <v>21912.980458482434</v>
      </c>
      <c r="I180" s="393">
        <v>22375.263313068208</v>
      </c>
      <c r="J180" s="393">
        <v>22913.471897680567</v>
      </c>
      <c r="K180" s="393">
        <v>23561.202944680532</v>
      </c>
      <c r="L180" s="393">
        <v>24316.862915434529</v>
      </c>
      <c r="M180" s="393">
        <v>25185.25762375788</v>
      </c>
      <c r="N180" s="394">
        <v>26194.691296894973</v>
      </c>
      <c r="O180" s="252">
        <v>27354.080914894908</v>
      </c>
      <c r="P180" s="252">
        <v>28659.506111904382</v>
      </c>
      <c r="Q180" s="252">
        <v>30046.635004584365</v>
      </c>
      <c r="R180" s="252">
        <v>31509.798552679295</v>
      </c>
      <c r="S180" s="252">
        <v>33020.721292463691</v>
      </c>
      <c r="T180" s="252">
        <v>34593.058659824899</v>
      </c>
      <c r="U180" s="252">
        <v>36370.880054434856</v>
      </c>
      <c r="V180" s="252">
        <v>37934.163638191036</v>
      </c>
      <c r="W180" s="252">
        <v>39510.904440790779</v>
      </c>
      <c r="X180" s="252">
        <v>40458.695595873811</v>
      </c>
      <c r="Y180" s="247"/>
      <c r="Z180" s="247"/>
      <c r="AA180" s="247"/>
    </row>
    <row r="181" spans="1:27" ht="12.75">
      <c r="A181" s="313" t="s">
        <v>35</v>
      </c>
      <c r="B181" s="388">
        <f>NPV(0.1,D181:Y181)</f>
        <v>90018.803202060604</v>
      </c>
      <c r="C181" s="388">
        <f>B181-B171</f>
        <v>268.20482626494777</v>
      </c>
      <c r="D181" s="392">
        <v>177.40335600132417</v>
      </c>
      <c r="E181" s="393">
        <v>521.34882379676264</v>
      </c>
      <c r="F181" s="393">
        <v>547.25360092218568</v>
      </c>
      <c r="G181" s="393">
        <v>6759.7277343455353</v>
      </c>
      <c r="H181" s="393">
        <v>11740.928172001628</v>
      </c>
      <c r="I181" s="393">
        <v>12643.835896060022</v>
      </c>
      <c r="J181" s="393">
        <v>13213.253024896079</v>
      </c>
      <c r="K181" s="393">
        <v>13679.061087038861</v>
      </c>
      <c r="L181" s="393">
        <v>14164.495688204132</v>
      </c>
      <c r="M181" s="393">
        <v>14670.858729974543</v>
      </c>
      <c r="N181" s="394">
        <v>15199.522862696913</v>
      </c>
      <c r="O181" s="252">
        <v>15847.016487365108</v>
      </c>
      <c r="P181" s="252">
        <v>16528.628970733749</v>
      </c>
      <c r="Q181" s="252">
        <v>17246.797125351957</v>
      </c>
      <c r="R181" s="252">
        <v>18004.117875206604</v>
      </c>
      <c r="S181" s="252">
        <v>18801.122466979941</v>
      </c>
      <c r="T181" s="252">
        <v>19420.481552357196</v>
      </c>
      <c r="U181" s="252">
        <v>20067.810670606112</v>
      </c>
      <c r="V181" s="252">
        <v>20745.069922871815</v>
      </c>
      <c r="W181" s="252">
        <v>21462.624701398316</v>
      </c>
      <c r="X181" s="252">
        <v>22232.571923366537</v>
      </c>
      <c r="Y181" s="247"/>
      <c r="Z181" s="247"/>
      <c r="AA181" s="247"/>
    </row>
    <row r="182" spans="1:27" ht="12.75">
      <c r="A182" s="313" t="s">
        <v>32</v>
      </c>
      <c r="B182" s="388">
        <f>NPV(0.1,D182:Y182)</f>
        <v>105212.38714351878</v>
      </c>
      <c r="C182" s="388">
        <f>B182-B172</f>
        <v>240.31544815501547</v>
      </c>
      <c r="D182" s="395">
        <v>2565.3643791912796</v>
      </c>
      <c r="E182" s="396">
        <v>4113.0413696739442</v>
      </c>
      <c r="F182" s="396">
        <v>4088.3459422848391</v>
      </c>
      <c r="G182" s="396">
        <v>16503.611926692502</v>
      </c>
      <c r="H182" s="396">
        <v>21558.434877626532</v>
      </c>
      <c r="I182" s="396">
        <v>16882.290325723719</v>
      </c>
      <c r="J182" s="396">
        <v>15244.919523895569</v>
      </c>
      <c r="K182" s="396">
        <v>15196.243420191378</v>
      </c>
      <c r="L182" s="396">
        <v>15116.728629981983</v>
      </c>
      <c r="M182" s="396">
        <v>15029.50307457889</v>
      </c>
      <c r="N182" s="397">
        <v>14908.513394738386</v>
      </c>
      <c r="O182" s="252">
        <v>14808.761305014359</v>
      </c>
      <c r="P182" s="252">
        <v>14671.798069222898</v>
      </c>
      <c r="Q182" s="252">
        <v>14520.12495870543</v>
      </c>
      <c r="R182" s="252">
        <v>14327.006878800821</v>
      </c>
      <c r="S182" s="252">
        <v>12298.116631229521</v>
      </c>
      <c r="T182" s="252">
        <v>10160.076558753237</v>
      </c>
      <c r="U182" s="252">
        <v>9795.2118890520633</v>
      </c>
      <c r="V182" s="252">
        <v>9391.4653010439633</v>
      </c>
      <c r="W182" s="252">
        <v>15451.83779413806</v>
      </c>
      <c r="X182" s="252">
        <v>24982.913231578426</v>
      </c>
      <c r="Y182" s="247"/>
      <c r="Z182" s="247"/>
      <c r="AA182" s="247"/>
    </row>
    <row r="183" spans="1:27" ht="12.75">
      <c r="A183" s="247"/>
      <c r="B183" s="247"/>
      <c r="C183" s="247"/>
      <c r="D183" s="247"/>
      <c r="E183" s="247"/>
      <c r="F183" s="247"/>
      <c r="G183" s="247"/>
      <c r="H183" s="247"/>
      <c r="I183" s="247"/>
      <c r="J183" s="247"/>
      <c r="K183" s="247"/>
      <c r="L183" s="247"/>
      <c r="M183" s="247"/>
      <c r="N183" s="247"/>
      <c r="O183" s="247"/>
      <c r="P183" s="247"/>
      <c r="Q183" s="247"/>
      <c r="R183" s="247"/>
      <c r="S183" s="247"/>
      <c r="T183" s="247"/>
      <c r="U183" s="247"/>
      <c r="V183" s="247"/>
      <c r="W183" s="247"/>
      <c r="X183" s="247"/>
      <c r="Y183" s="247"/>
      <c r="Z183" s="247"/>
      <c r="AA183" s="247"/>
    </row>
    <row r="184" spans="1:27" ht="12.75">
      <c r="A184" s="292" t="s">
        <v>497</v>
      </c>
      <c r="B184" s="247"/>
      <c r="C184" s="247"/>
      <c r="D184" s="247"/>
      <c r="E184" s="247"/>
      <c r="F184" s="247"/>
      <c r="G184" s="247"/>
      <c r="H184" s="247"/>
      <c r="I184" s="247"/>
      <c r="J184" s="247"/>
      <c r="K184" s="247"/>
      <c r="L184" s="247"/>
      <c r="M184" s="247"/>
      <c r="N184" s="247"/>
      <c r="O184" s="247"/>
      <c r="P184" s="247"/>
      <c r="Q184" s="247"/>
      <c r="R184" s="247"/>
      <c r="S184" s="247"/>
      <c r="T184" s="247"/>
      <c r="U184" s="247"/>
      <c r="V184" s="247"/>
      <c r="W184" s="247"/>
      <c r="X184" s="247"/>
      <c r="Y184" s="247"/>
      <c r="Z184" s="247"/>
      <c r="AA184" s="247"/>
    </row>
    <row r="185" spans="1:27" ht="12.75">
      <c r="A185" s="333">
        <v>36257</v>
      </c>
      <c r="B185" s="247"/>
      <c r="C185" s="247"/>
      <c r="D185" s="247"/>
      <c r="E185" s="247"/>
      <c r="F185" s="247"/>
      <c r="G185" s="247"/>
      <c r="H185" s="247"/>
      <c r="I185" s="247"/>
      <c r="J185" s="247"/>
      <c r="K185" s="247"/>
      <c r="L185" s="247"/>
      <c r="M185" s="247"/>
      <c r="N185" s="247"/>
      <c r="O185" s="247"/>
      <c r="P185" s="247"/>
      <c r="Q185" s="247"/>
      <c r="R185" s="247"/>
      <c r="S185" s="247"/>
      <c r="T185" s="247"/>
      <c r="U185" s="247"/>
      <c r="V185" s="247"/>
      <c r="W185" s="247"/>
      <c r="X185" s="247"/>
      <c r="Y185" s="247"/>
      <c r="Z185" s="247"/>
      <c r="AA185" s="247"/>
    </row>
    <row r="186" spans="1:27" ht="12.75">
      <c r="A186" s="308" t="s">
        <v>416</v>
      </c>
      <c r="B186" s="309">
        <v>70111.413612164324</v>
      </c>
      <c r="C186" s="247"/>
      <c r="D186" s="247"/>
      <c r="E186" s="247"/>
      <c r="F186" s="247"/>
      <c r="G186" s="247"/>
      <c r="H186" s="247"/>
      <c r="I186" s="247"/>
      <c r="J186" s="247"/>
      <c r="K186" s="247"/>
      <c r="L186" s="247"/>
      <c r="M186" s="247"/>
      <c r="N186" s="247"/>
      <c r="O186" s="247"/>
      <c r="P186" s="247"/>
      <c r="Q186" s="247"/>
      <c r="R186" s="247"/>
      <c r="S186" s="247"/>
      <c r="T186" s="247"/>
      <c r="U186" s="247"/>
      <c r="V186" s="247"/>
      <c r="W186" s="247"/>
      <c r="X186" s="247"/>
      <c r="Y186" s="247"/>
      <c r="Z186" s="247"/>
      <c r="AA186" s="247"/>
    </row>
    <row r="187" spans="1:27" ht="12.75">
      <c r="A187" s="310" t="s">
        <v>417</v>
      </c>
      <c r="B187" s="311">
        <v>107958.37124073808</v>
      </c>
      <c r="C187" s="247"/>
      <c r="D187" s="247"/>
      <c r="E187" s="247"/>
      <c r="F187" s="247"/>
      <c r="G187" s="247"/>
      <c r="H187" s="247"/>
      <c r="I187" s="247"/>
      <c r="J187" s="247"/>
      <c r="K187" s="247"/>
      <c r="L187" s="247"/>
      <c r="M187" s="247"/>
      <c r="N187" s="247"/>
      <c r="O187" s="247"/>
      <c r="P187" s="247"/>
      <c r="Q187" s="247"/>
      <c r="R187" s="247"/>
      <c r="S187" s="247"/>
      <c r="T187" s="247"/>
      <c r="U187" s="247"/>
      <c r="V187" s="247"/>
      <c r="W187" s="247"/>
      <c r="X187" s="247"/>
      <c r="Y187" s="247"/>
      <c r="Z187" s="247"/>
      <c r="AA187" s="247"/>
    </row>
    <row r="188" spans="1:27" ht="12.75">
      <c r="A188" s="312" t="s">
        <v>418</v>
      </c>
      <c r="B188" s="387" t="s">
        <v>469</v>
      </c>
      <c r="C188" s="387" t="s">
        <v>470</v>
      </c>
      <c r="D188" s="389">
        <v>2000</v>
      </c>
      <c r="E188" s="390">
        <v>2001</v>
      </c>
      <c r="F188" s="390">
        <v>2002</v>
      </c>
      <c r="G188" s="390">
        <v>2003</v>
      </c>
      <c r="H188" s="390">
        <v>2004</v>
      </c>
      <c r="I188" s="390">
        <v>2005</v>
      </c>
      <c r="J188" s="390">
        <v>2006</v>
      </c>
      <c r="K188" s="390">
        <v>2007</v>
      </c>
      <c r="L188" s="390">
        <v>2008</v>
      </c>
      <c r="M188" s="390">
        <v>2009</v>
      </c>
      <c r="N188" s="391">
        <v>2010</v>
      </c>
      <c r="O188" s="248">
        <v>2011</v>
      </c>
      <c r="P188" s="248">
        <v>2012</v>
      </c>
      <c r="Q188" s="248">
        <v>2013</v>
      </c>
      <c r="R188" s="248">
        <v>2014</v>
      </c>
      <c r="S188" s="248">
        <v>2015</v>
      </c>
      <c r="T188" s="248">
        <v>2016</v>
      </c>
      <c r="U188" s="248">
        <v>2017</v>
      </c>
      <c r="V188" s="248">
        <v>2018</v>
      </c>
      <c r="W188" s="248">
        <v>2019</v>
      </c>
      <c r="X188" s="248">
        <v>2020</v>
      </c>
      <c r="Y188" s="247"/>
      <c r="Z188" s="247"/>
      <c r="AA188" s="247"/>
    </row>
    <row r="189" spans="1:27" ht="12.75">
      <c r="A189" s="312" t="s">
        <v>419</v>
      </c>
      <c r="B189" s="388">
        <f>NPV(0.1,D189:Y189)</f>
        <v>475041.93661407341</v>
      </c>
      <c r="C189" s="388">
        <f>B189-B179</f>
        <v>2.7415342533495277</v>
      </c>
      <c r="D189" s="392">
        <v>26849.951375983637</v>
      </c>
      <c r="E189" s="393">
        <v>37745.302197154408</v>
      </c>
      <c r="F189" s="393">
        <v>38031.220137739903</v>
      </c>
      <c r="G189" s="393">
        <v>48483.156163994412</v>
      </c>
      <c r="H189" s="393">
        <v>57110.731522571848</v>
      </c>
      <c r="I189" s="393">
        <v>58528.20080921163</v>
      </c>
      <c r="J189" s="393">
        <v>59499.400963677559</v>
      </c>
      <c r="K189" s="393">
        <v>60572.361838731398</v>
      </c>
      <c r="L189" s="393">
        <v>61744.62008320188</v>
      </c>
      <c r="M189" s="393">
        <v>63020.119580269253</v>
      </c>
      <c r="N189" s="394">
        <v>64426.205594016377</v>
      </c>
      <c r="O189" s="252">
        <v>66128.194941841517</v>
      </c>
      <c r="P189" s="252">
        <v>67973.197989444219</v>
      </c>
      <c r="Q189" s="252">
        <v>69896.251870445107</v>
      </c>
      <c r="R189" s="252">
        <v>71890.968337169907</v>
      </c>
      <c r="S189" s="252">
        <v>73924.552891581203</v>
      </c>
      <c r="T189" s="252">
        <v>75645.054767337846</v>
      </c>
      <c r="U189" s="252">
        <v>77542.474475596377</v>
      </c>
      <c r="V189" s="252">
        <v>79194.948139344488</v>
      </c>
      <c r="W189" s="252">
        <v>80842.199884240981</v>
      </c>
      <c r="X189" s="252">
        <v>81811.912350935105</v>
      </c>
      <c r="Y189" s="247"/>
      <c r="Z189" s="247"/>
      <c r="AA189" s="247"/>
    </row>
    <row r="190" spans="1:27" ht="12.75">
      <c r="A190" s="313" t="s">
        <v>420</v>
      </c>
      <c r="B190" s="388">
        <f>NPV(0.1,D190:Y190)</f>
        <v>214111.78255919795</v>
      </c>
      <c r="C190" s="388">
        <f>B190-B180</f>
        <v>1859.3972406311659</v>
      </c>
      <c r="D190" s="392">
        <v>17260.684547114874</v>
      </c>
      <c r="E190" s="393">
        <v>21023.320644038158</v>
      </c>
      <c r="F190" s="393">
        <v>21416.314850356241</v>
      </c>
      <c r="G190" s="393">
        <v>21735.155585307471</v>
      </c>
      <c r="H190" s="393">
        <v>22115.858937735324</v>
      </c>
      <c r="I190" s="393">
        <v>22584.228146698679</v>
      </c>
      <c r="J190" s="393">
        <v>23128.705676319958</v>
      </c>
      <c r="K190" s="393">
        <v>23782.893736679096</v>
      </c>
      <c r="L190" s="393">
        <v>24545.204431193051</v>
      </c>
      <c r="M190" s="393">
        <v>25420.449384989162</v>
      </c>
      <c r="N190" s="394">
        <v>26436.938810963195</v>
      </c>
      <c r="O190" s="252">
        <v>27603.595854385174</v>
      </c>
      <c r="P190" s="252">
        <v>28916.506499579355</v>
      </c>
      <c r="Q190" s="252">
        <v>30311.345403889591</v>
      </c>
      <c r="R190" s="252">
        <v>31782.450263963678</v>
      </c>
      <c r="S190" s="252">
        <v>33301.5525550866</v>
      </c>
      <c r="T190" s="252">
        <v>34882.314860326493</v>
      </c>
      <c r="U190" s="252">
        <v>36668.813940951499</v>
      </c>
      <c r="V190" s="252">
        <v>38241.035541303179</v>
      </c>
      <c r="W190" s="252">
        <v>39826.982500996281</v>
      </c>
      <c r="X190" s="252">
        <v>40783.764370515091</v>
      </c>
      <c r="Y190" s="247"/>
      <c r="Z190" s="247"/>
      <c r="AA190" s="247"/>
    </row>
    <row r="191" spans="1:27" ht="12.75">
      <c r="A191" s="313" t="s">
        <v>35</v>
      </c>
      <c r="B191" s="388">
        <f>NPV(0.1,D191:Y191)</f>
        <v>89201.620160241437</v>
      </c>
      <c r="C191" s="388">
        <f>B191-B181</f>
        <v>-817.18304181916756</v>
      </c>
      <c r="D191" s="392">
        <v>142.73284131913366</v>
      </c>
      <c r="E191" s="393">
        <v>457.14679645898423</v>
      </c>
      <c r="F191" s="393">
        <v>476.80211567922044</v>
      </c>
      <c r="G191" s="393">
        <v>6682.5042441861415</v>
      </c>
      <c r="H191" s="393">
        <v>11659.71133329318</v>
      </c>
      <c r="I191" s="393">
        <v>12558.371776838523</v>
      </c>
      <c r="J191" s="393">
        <v>13123.269344717979</v>
      </c>
      <c r="K191" s="393">
        <v>13584.265808085063</v>
      </c>
      <c r="L191" s="393">
        <v>14064.575495441752</v>
      </c>
      <c r="M191" s="393">
        <v>14565.477391554115</v>
      </c>
      <c r="N191" s="394">
        <v>15088.319461058691</v>
      </c>
      <c r="O191" s="252">
        <v>15729.603510767327</v>
      </c>
      <c r="P191" s="252">
        <v>16404.590254094819</v>
      </c>
      <c r="Q191" s="252">
        <v>17115.685628411149</v>
      </c>
      <c r="R191" s="252">
        <v>17865.453285050655</v>
      </c>
      <c r="S191" s="252">
        <v>18654.388610947859</v>
      </c>
      <c r="T191" s="252">
        <v>19265.123606218982</v>
      </c>
      <c r="U191" s="252">
        <v>19903.232145704555</v>
      </c>
      <c r="V191" s="252">
        <v>20570.629414613672</v>
      </c>
      <c r="W191" s="252">
        <v>21277.632380074152</v>
      </c>
      <c r="X191" s="252">
        <v>22036.285746758884</v>
      </c>
      <c r="Y191" s="247"/>
      <c r="Z191" s="247"/>
      <c r="AA191" s="247"/>
    </row>
    <row r="192" spans="1:27" ht="12.75">
      <c r="A192" s="313" t="s">
        <v>32</v>
      </c>
      <c r="B192" s="388">
        <f>NPV(0.1,D192:Y192)</f>
        <v>104707.187146557</v>
      </c>
      <c r="C192" s="388">
        <f>B192-B182</f>
        <v>-505.19999696177547</v>
      </c>
      <c r="D192" s="395">
        <v>2539.8235650998058</v>
      </c>
      <c r="E192" s="396">
        <v>4067.9435893638583</v>
      </c>
      <c r="F192" s="396">
        <v>4041.8952285654523</v>
      </c>
      <c r="G192" s="396">
        <v>16383.150354445752</v>
      </c>
      <c r="H192" s="396">
        <v>21434.359458212377</v>
      </c>
      <c r="I192" s="396">
        <v>17034.16456720492</v>
      </c>
      <c r="J192" s="396">
        <v>15174.188624768596</v>
      </c>
      <c r="K192" s="396">
        <v>15124.820049833177</v>
      </c>
      <c r="L192" s="396">
        <v>15044.706370715028</v>
      </c>
      <c r="M192" s="396">
        <v>14956.987464712071</v>
      </c>
      <c r="N192" s="397">
        <v>14835.62301912797</v>
      </c>
      <c r="O192" s="252">
        <v>14735.628976892209</v>
      </c>
      <c r="P192" s="252">
        <v>14598.572110714204</v>
      </c>
      <c r="Q192" s="252">
        <v>14446.970588055156</v>
      </c>
      <c r="R192" s="252">
        <v>14254.107712973817</v>
      </c>
      <c r="S192" s="252">
        <v>12225.676313245913</v>
      </c>
      <c r="T192" s="252">
        <v>10088.320519873783</v>
      </c>
      <c r="U192" s="252">
        <v>9724.3892567413804</v>
      </c>
      <c r="V192" s="252">
        <v>9321.850964517922</v>
      </c>
      <c r="W192" s="252">
        <v>15312.433801815607</v>
      </c>
      <c r="X192" s="252">
        <v>24786.627054970773</v>
      </c>
      <c r="Y192" s="247"/>
      <c r="Z192" s="247"/>
      <c r="AA192" s="247"/>
    </row>
    <row r="193" spans="1:27" ht="12.75">
      <c r="A193" s="247"/>
      <c r="B193" s="247"/>
      <c r="C193" s="247"/>
      <c r="D193" s="247"/>
      <c r="E193" s="247"/>
      <c r="F193" s="247"/>
      <c r="G193" s="247"/>
      <c r="H193" s="247"/>
      <c r="I193" s="247"/>
      <c r="J193" s="247"/>
      <c r="K193" s="247"/>
      <c r="L193" s="247"/>
      <c r="M193" s="247"/>
      <c r="N193" s="247"/>
      <c r="O193" s="247"/>
      <c r="P193" s="247"/>
      <c r="Q193" s="247"/>
      <c r="R193" s="247"/>
      <c r="S193" s="247"/>
      <c r="T193" s="247"/>
      <c r="U193" s="247"/>
      <c r="V193" s="247"/>
      <c r="W193" s="247"/>
      <c r="X193" s="247"/>
      <c r="Y193" s="247"/>
      <c r="Z193" s="247"/>
      <c r="AA193" s="247"/>
    </row>
    <row r="194" spans="1:27" ht="12.75">
      <c r="A194" s="292" t="s">
        <v>498</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row>
    <row r="195" spans="1:27" ht="12.75">
      <c r="A195" s="333">
        <v>36257</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row>
    <row r="196" spans="1:27" ht="12.75">
      <c r="A196" s="308" t="s">
        <v>416</v>
      </c>
      <c r="B196" s="309">
        <v>70485.529800608914</v>
      </c>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row>
    <row r="197" spans="1:27" ht="12.75">
      <c r="A197" s="310" t="s">
        <v>417</v>
      </c>
      <c r="B197" s="311">
        <v>108449.84492106596</v>
      </c>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row>
    <row r="198" spans="1:27" ht="12.75">
      <c r="A198" s="312" t="s">
        <v>418</v>
      </c>
      <c r="B198" s="387" t="s">
        <v>469</v>
      </c>
      <c r="C198" s="387" t="s">
        <v>470</v>
      </c>
      <c r="D198" s="389">
        <v>2000</v>
      </c>
      <c r="E198" s="390">
        <v>2001</v>
      </c>
      <c r="F198" s="390">
        <v>2002</v>
      </c>
      <c r="G198" s="390">
        <v>2003</v>
      </c>
      <c r="H198" s="390">
        <v>2004</v>
      </c>
      <c r="I198" s="390">
        <v>2005</v>
      </c>
      <c r="J198" s="390">
        <v>2006</v>
      </c>
      <c r="K198" s="390">
        <v>2007</v>
      </c>
      <c r="L198" s="390">
        <v>2008</v>
      </c>
      <c r="M198" s="390">
        <v>2009</v>
      </c>
      <c r="N198" s="391">
        <v>2010</v>
      </c>
      <c r="O198" s="248">
        <v>2011</v>
      </c>
      <c r="P198" s="248">
        <v>2012</v>
      </c>
      <c r="Q198" s="248">
        <v>2013</v>
      </c>
      <c r="R198" s="248">
        <v>2014</v>
      </c>
      <c r="S198" s="248">
        <v>2015</v>
      </c>
      <c r="T198" s="248">
        <v>2016</v>
      </c>
      <c r="U198" s="248">
        <v>2017</v>
      </c>
      <c r="V198" s="248">
        <v>2018</v>
      </c>
      <c r="W198" s="248">
        <v>2019</v>
      </c>
      <c r="X198" s="248">
        <v>2020</v>
      </c>
      <c r="Y198" s="247"/>
      <c r="Z198" s="247"/>
      <c r="AA198" s="247"/>
    </row>
    <row r="199" spans="1:27" ht="12.75">
      <c r="A199" s="312" t="s">
        <v>419</v>
      </c>
      <c r="B199" s="388">
        <f>NPV(0.1,D199:Y199)</f>
        <v>475041.21177413187</v>
      </c>
      <c r="C199" s="388">
        <f>B199-B189</f>
        <v>-0.72483994154026732</v>
      </c>
      <c r="D199" s="392">
        <v>26849.909394595619</v>
      </c>
      <c r="E199" s="393">
        <v>37745.228070017845</v>
      </c>
      <c r="F199" s="393">
        <v>38031.143786789245</v>
      </c>
      <c r="G199" s="393">
        <v>48483.077522515232</v>
      </c>
      <c r="H199" s="393">
        <v>57110.6505218483</v>
      </c>
      <c r="I199" s="393">
        <v>58528.117378466362</v>
      </c>
      <c r="J199" s="393">
        <v>59499.315030009937</v>
      </c>
      <c r="K199" s="393">
        <v>60572.273327053757</v>
      </c>
      <c r="L199" s="393">
        <v>61744.528916173898</v>
      </c>
      <c r="M199" s="393">
        <v>63020.02567823045</v>
      </c>
      <c r="N199" s="394">
        <v>64426.108874916397</v>
      </c>
      <c r="O199" s="252">
        <v>66128.095321168541</v>
      </c>
      <c r="P199" s="252">
        <v>67973.095380151048</v>
      </c>
      <c r="Q199" s="252">
        <v>69896.146182873155</v>
      </c>
      <c r="R199" s="252">
        <v>71890.859478970786</v>
      </c>
      <c r="S199" s="252">
        <v>73924.440767636115</v>
      </c>
      <c r="T199" s="252">
        <v>75644.939279674392</v>
      </c>
      <c r="U199" s="252">
        <v>77542.35552330302</v>
      </c>
      <c r="V199" s="252">
        <v>79194.82561848234</v>
      </c>
      <c r="W199" s="252">
        <v>80842.073687752942</v>
      </c>
      <c r="X199" s="252">
        <v>81811.912350935105</v>
      </c>
      <c r="Y199" s="247"/>
      <c r="Z199" s="247"/>
      <c r="AA199" s="247"/>
    </row>
    <row r="200" spans="1:27" ht="12.75">
      <c r="A200" s="313" t="s">
        <v>420</v>
      </c>
      <c r="B200" s="388">
        <f>NPV(0.1,D200:Y200)</f>
        <v>213620.43529019202</v>
      </c>
      <c r="C200" s="388">
        <f>B200-B190</f>
        <v>-491.34726900592796</v>
      </c>
      <c r="D200" s="392">
        <v>17232.831852927418</v>
      </c>
      <c r="E200" s="393">
        <v>20974.371471640086</v>
      </c>
      <c r="F200" s="393">
        <v>21366.114002543352</v>
      </c>
      <c r="G200" s="393">
        <v>21683.531286319019</v>
      </c>
      <c r="H200" s="393">
        <v>22062.705237061917</v>
      </c>
      <c r="I200" s="393">
        <v>22528.829656199621</v>
      </c>
      <c r="J200" s="393">
        <v>23071.649726415551</v>
      </c>
      <c r="K200" s="393">
        <v>23724.130603587186</v>
      </c>
      <c r="L200" s="393">
        <v>24484.68289941801</v>
      </c>
      <c r="M200" s="393">
        <v>25358.116702570496</v>
      </c>
      <c r="N200" s="394">
        <v>26372.740643381592</v>
      </c>
      <c r="O200" s="252">
        <v>27537.47623708575</v>
      </c>
      <c r="P200" s="252">
        <v>28848.40778907057</v>
      </c>
      <c r="Q200" s="252">
        <v>30241.208227375162</v>
      </c>
      <c r="R200" s="252">
        <v>31710.21346746344</v>
      </c>
      <c r="S200" s="252">
        <v>33227.153150000988</v>
      </c>
      <c r="T200" s="252">
        <v>34805.687968397942</v>
      </c>
      <c r="U200" s="252">
        <v>36589.892737574708</v>
      </c>
      <c r="V200" s="252">
        <v>38159.751197134705</v>
      </c>
      <c r="W200" s="252">
        <v>39743.413965466541</v>
      </c>
      <c r="X200" s="252">
        <v>40697.818761302107</v>
      </c>
      <c r="Y200" s="247"/>
      <c r="Z200" s="247"/>
      <c r="AA200" s="247"/>
    </row>
    <row r="201" spans="1:27" ht="12.75">
      <c r="A201" s="313" t="s">
        <v>35</v>
      </c>
      <c r="B201" s="388">
        <f>NPV(0.1,D201:Y201)</f>
        <v>89417.450135309366</v>
      </c>
      <c r="C201" s="388">
        <f>B201-B191</f>
        <v>215.8299750679289</v>
      </c>
      <c r="D201" s="392">
        <v>151.93658854181797</v>
      </c>
      <c r="E201" s="393">
        <v>474.0495610298961</v>
      </c>
      <c r="F201" s="393">
        <v>495.21976531127285</v>
      </c>
      <c r="G201" s="393">
        <v>6702.6438170626525</v>
      </c>
      <c r="H201" s="393">
        <v>11680.877859026154</v>
      </c>
      <c r="I201" s="393">
        <v>12581.034717709606</v>
      </c>
      <c r="J201" s="393">
        <v>13147.128195295429</v>
      </c>
      <c r="K201" s="393">
        <v>13609.397858742119</v>
      </c>
      <c r="L201" s="393">
        <v>14091.063668309385</v>
      </c>
      <c r="M201" s="393">
        <v>14593.410674517558</v>
      </c>
      <c r="N201" s="394">
        <v>15117.793375977206</v>
      </c>
      <c r="O201" s="252">
        <v>15760.720618640493</v>
      </c>
      <c r="P201" s="252">
        <v>16437.460700115465</v>
      </c>
      <c r="Q201" s="252">
        <v>17150.427730080246</v>
      </c>
      <c r="R201" s="252">
        <v>17902.194166782676</v>
      </c>
      <c r="S201" s="252">
        <v>18693.264888869358</v>
      </c>
      <c r="T201" s="252">
        <v>19306.282127158251</v>
      </c>
      <c r="U201" s="252">
        <v>19946.830784690184</v>
      </c>
      <c r="V201" s="252">
        <v>20616.837935544128</v>
      </c>
      <c r="W201" s="252">
        <v>21326.542884546532</v>
      </c>
      <c r="X201" s="252">
        <v>22088.182257111959</v>
      </c>
      <c r="Y201" s="247"/>
      <c r="Z201" s="247"/>
      <c r="AA201" s="247"/>
    </row>
    <row r="202" spans="1:27" ht="12.75">
      <c r="A202" s="313" t="s">
        <v>32</v>
      </c>
      <c r="B202" s="388">
        <f>NPV(0.1,D202:Y202)</f>
        <v>104840.8026780073</v>
      </c>
      <c r="C202" s="388">
        <f>B202-B192</f>
        <v>133.61553145029757</v>
      </c>
      <c r="D202" s="395">
        <v>2546.5890558096685</v>
      </c>
      <c r="E202" s="396">
        <v>4079.8333840284372</v>
      </c>
      <c r="F202" s="396">
        <v>4054.0889763598211</v>
      </c>
      <c r="G202" s="396">
        <v>16414.722069670181</v>
      </c>
      <c r="H202" s="396">
        <v>21466.866486931664</v>
      </c>
      <c r="I202" s="396">
        <v>16994.617134004569</v>
      </c>
      <c r="J202" s="396">
        <v>15192.935153653134</v>
      </c>
      <c r="K202" s="396">
        <v>15143.748950990896</v>
      </c>
      <c r="L202" s="396">
        <v>15063.792844790263</v>
      </c>
      <c r="M202" s="396">
        <v>14976.203546726603</v>
      </c>
      <c r="N202" s="397">
        <v>14854.937289780955</v>
      </c>
      <c r="O202" s="252">
        <v>14755.006249700675</v>
      </c>
      <c r="P202" s="252">
        <v>14617.973093029312</v>
      </c>
      <c r="Q202" s="252">
        <v>14466.351513831518</v>
      </c>
      <c r="R202" s="252">
        <v>14273.419944998233</v>
      </c>
      <c r="S202" s="252">
        <v>12244.865912347434</v>
      </c>
      <c r="T202" s="252">
        <v>10107.327778437648</v>
      </c>
      <c r="U202" s="252">
        <v>9743.1481936342389</v>
      </c>
      <c r="V202" s="252">
        <v>9340.2887782990274</v>
      </c>
      <c r="W202" s="252">
        <v>15349.237830603886</v>
      </c>
      <c r="X202" s="252">
        <v>24838.523565323849</v>
      </c>
      <c r="Y202" s="247"/>
      <c r="Z202" s="247"/>
      <c r="AA202" s="247"/>
    </row>
    <row r="203" spans="1:27" ht="12.75">
      <c r="A203" s="247"/>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row>
    <row r="204" spans="1:27" ht="12.75">
      <c r="A204" s="292" t="s">
        <v>499</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row>
    <row r="205" spans="1:27" ht="12.75">
      <c r="A205" s="333">
        <v>36258</v>
      </c>
      <c r="B205" s="247"/>
      <c r="C205" s="247"/>
      <c r="D205" s="247"/>
      <c r="E205" s="247"/>
      <c r="F205" s="247"/>
      <c r="G205" s="247"/>
      <c r="H205" s="247"/>
      <c r="I205" s="247"/>
      <c r="J205" s="247"/>
      <c r="K205" s="247"/>
      <c r="L205" s="247"/>
      <c r="M205" s="247"/>
      <c r="N205" s="247"/>
      <c r="O205" s="247"/>
      <c r="P205" s="247"/>
      <c r="Q205" s="247"/>
      <c r="R205" s="247"/>
      <c r="S205" s="247"/>
      <c r="T205" s="247"/>
      <c r="U205" s="247"/>
      <c r="V205" s="247"/>
      <c r="W205" s="247"/>
      <c r="X205" s="247"/>
      <c r="Y205" s="247"/>
      <c r="Z205" s="247"/>
      <c r="AA205" s="247"/>
    </row>
    <row r="206" spans="1:27" ht="12.75">
      <c r="A206" s="308" t="s">
        <v>416</v>
      </c>
      <c r="B206" s="309">
        <v>72416.031163389081</v>
      </c>
      <c r="C206" s="247"/>
      <c r="D206" s="247"/>
      <c r="E206" s="247"/>
      <c r="F206" s="247"/>
      <c r="G206" s="247"/>
      <c r="H206" s="247"/>
      <c r="I206" s="247"/>
      <c r="J206" s="247"/>
      <c r="K206" s="247"/>
      <c r="L206" s="247"/>
      <c r="M206" s="247"/>
      <c r="N206" s="247"/>
      <c r="O206" s="247"/>
      <c r="P206" s="247"/>
      <c r="Q206" s="247"/>
      <c r="R206" s="247"/>
      <c r="S206" s="247"/>
      <c r="T206" s="247"/>
      <c r="U206" s="247"/>
      <c r="V206" s="247"/>
      <c r="W206" s="247"/>
      <c r="X206" s="247"/>
      <c r="Y206" s="247"/>
      <c r="Z206" s="247"/>
      <c r="AA206" s="247"/>
    </row>
    <row r="207" spans="1:27" ht="12.75">
      <c r="A207" s="310" t="s">
        <v>417</v>
      </c>
      <c r="B207" s="311">
        <v>110990.88929901199</v>
      </c>
      <c r="C207" s="247"/>
      <c r="D207" s="247"/>
      <c r="E207" s="247"/>
      <c r="F207" s="247"/>
      <c r="G207" s="247"/>
      <c r="H207" s="247"/>
      <c r="I207" s="247"/>
      <c r="J207" s="247"/>
      <c r="K207" s="247"/>
      <c r="L207" s="247"/>
      <c r="M207" s="247"/>
      <c r="N207" s="247"/>
      <c r="O207" s="247"/>
      <c r="P207" s="247"/>
      <c r="Q207" s="247"/>
      <c r="R207" s="247"/>
      <c r="S207" s="247"/>
      <c r="T207" s="247"/>
      <c r="U207" s="247"/>
      <c r="V207" s="247"/>
      <c r="W207" s="247"/>
      <c r="X207" s="247"/>
      <c r="Y207" s="247"/>
      <c r="Z207" s="247"/>
      <c r="AA207" s="247"/>
    </row>
    <row r="208" spans="1:27" ht="12.75">
      <c r="A208" s="312" t="s">
        <v>418</v>
      </c>
      <c r="B208" s="387" t="s">
        <v>469</v>
      </c>
      <c r="C208" s="387" t="s">
        <v>470</v>
      </c>
      <c r="D208" s="389">
        <v>2000</v>
      </c>
      <c r="E208" s="390">
        <v>2001</v>
      </c>
      <c r="F208" s="390">
        <v>2002</v>
      </c>
      <c r="G208" s="390">
        <v>2003</v>
      </c>
      <c r="H208" s="390">
        <v>2004</v>
      </c>
      <c r="I208" s="390">
        <v>2005</v>
      </c>
      <c r="J208" s="390">
        <v>2006</v>
      </c>
      <c r="K208" s="390">
        <v>2007</v>
      </c>
      <c r="L208" s="390">
        <v>2008</v>
      </c>
      <c r="M208" s="390">
        <v>2009</v>
      </c>
      <c r="N208" s="391">
        <v>2010</v>
      </c>
      <c r="O208" s="248">
        <v>2011</v>
      </c>
      <c r="P208" s="248">
        <v>2012</v>
      </c>
      <c r="Q208" s="248">
        <v>2013</v>
      </c>
      <c r="R208" s="248">
        <v>2014</v>
      </c>
      <c r="S208" s="248">
        <v>2015</v>
      </c>
      <c r="T208" s="248">
        <v>2016</v>
      </c>
      <c r="U208" s="248">
        <v>2017</v>
      </c>
      <c r="V208" s="248">
        <v>2018</v>
      </c>
      <c r="W208" s="248">
        <v>2019</v>
      </c>
      <c r="X208" s="248">
        <v>2020</v>
      </c>
      <c r="Y208" s="247"/>
      <c r="Z208" s="247"/>
      <c r="AA208" s="247"/>
    </row>
    <row r="209" spans="1:27" ht="12.75">
      <c r="A209" s="312" t="s">
        <v>419</v>
      </c>
      <c r="B209" s="388">
        <f>NPV(0.1,D209:Y209)</f>
        <v>478914.87929088884</v>
      </c>
      <c r="C209" s="388">
        <f>B209-B199</f>
        <v>3873.6675167569774</v>
      </c>
      <c r="D209" s="392">
        <v>27066.116035203158</v>
      </c>
      <c r="E209" s="393">
        <v>38051.706297469063</v>
      </c>
      <c r="F209" s="393">
        <v>38339.791036659706</v>
      </c>
      <c r="G209" s="393">
        <v>48878.441871698611</v>
      </c>
      <c r="H209" s="393">
        <v>57577.548776785785</v>
      </c>
      <c r="I209" s="393">
        <v>59006.573271889327</v>
      </c>
      <c r="J209" s="393">
        <v>59985.606124751794</v>
      </c>
      <c r="K209" s="393">
        <v>61067.232356521577</v>
      </c>
      <c r="L209" s="393">
        <v>62248.968052640208</v>
      </c>
      <c r="M209" s="393">
        <v>63534.789376041495</v>
      </c>
      <c r="N209" s="394">
        <v>64952.266893949098</v>
      </c>
      <c r="O209" s="252">
        <v>66668.091523480791</v>
      </c>
      <c r="P209" s="252">
        <v>68528.102131887252</v>
      </c>
      <c r="Q209" s="252">
        <v>70466.799729322564</v>
      </c>
      <c r="R209" s="252">
        <v>72477.743103309564</v>
      </c>
      <c r="S209" s="252">
        <v>74527.866963051463</v>
      </c>
      <c r="T209" s="252">
        <v>76262.292261237584</v>
      </c>
      <c r="U209" s="252">
        <v>78175.084451097937</v>
      </c>
      <c r="V209" s="252">
        <v>79840.899428278848</v>
      </c>
      <c r="W209" s="252">
        <v>81501.438354747399</v>
      </c>
      <c r="X209" s="252">
        <v>82479.070204324846</v>
      </c>
      <c r="Y209" s="247"/>
      <c r="Z209" s="247"/>
      <c r="AA209" s="247"/>
    </row>
    <row r="210" spans="1:27" ht="12.75">
      <c r="A210" s="313" t="s">
        <v>420</v>
      </c>
      <c r="B210" s="388">
        <f>NPV(0.1,D210:Y210)</f>
        <v>214978.60934533863</v>
      </c>
      <c r="C210" s="388">
        <f>B210-B200</f>
        <v>1358.1740551466064</v>
      </c>
      <c r="D210" s="392">
        <v>17347.145303100424</v>
      </c>
      <c r="E210" s="393">
        <v>21106.041360925239</v>
      </c>
      <c r="F210" s="393">
        <v>21499.911199181966</v>
      </c>
      <c r="G210" s="393">
        <v>21818.804467253431</v>
      </c>
      <c r="H210" s="393">
        <v>22199.926507996039</v>
      </c>
      <c r="I210" s="393">
        <v>22669.438692710417</v>
      </c>
      <c r="J210" s="393">
        <v>23215.597583953873</v>
      </c>
      <c r="K210" s="393">
        <v>23872.284457615166</v>
      </c>
      <c r="L210" s="393">
        <v>24637.895477528782</v>
      </c>
      <c r="M210" s="393">
        <v>25517.279463494597</v>
      </c>
      <c r="N210" s="394">
        <v>26538.977150887873</v>
      </c>
      <c r="O210" s="252">
        <v>27711.982629668324</v>
      </c>
      <c r="P210" s="252">
        <v>29032.346427043329</v>
      </c>
      <c r="Q210" s="252">
        <v>30435.209761315404</v>
      </c>
      <c r="R210" s="252">
        <v>31914.860270626297</v>
      </c>
      <c r="S210" s="252">
        <v>33442.761776566236</v>
      </c>
      <c r="T210" s="252">
        <v>35032.686231291002</v>
      </c>
      <c r="U210" s="252">
        <v>36829.926766403565</v>
      </c>
      <c r="V210" s="252">
        <v>38411.00099879958</v>
      </c>
      <c r="W210" s="252">
        <v>40005.870577482623</v>
      </c>
      <c r="X210" s="252">
        <v>40966.406600360729</v>
      </c>
      <c r="Y210" s="247"/>
      <c r="Z210" s="247"/>
      <c r="AA210" s="247"/>
    </row>
    <row r="211" spans="1:27" ht="12.75">
      <c r="A211" s="313" t="s">
        <v>35</v>
      </c>
      <c r="B211" s="388">
        <f>NPV(0.1,D211:Y211)</f>
        <v>90511.510552968088</v>
      </c>
      <c r="C211" s="388">
        <f>B211-B201</f>
        <v>1094.0604176587221</v>
      </c>
      <c r="D211" s="392">
        <v>175.94659033656322</v>
      </c>
      <c r="E211" s="393">
        <v>516.00577801797772</v>
      </c>
      <c r="F211" s="393">
        <v>538.4872896328668</v>
      </c>
      <c r="G211" s="393">
        <v>6798.7697330532374</v>
      </c>
      <c r="H211" s="393">
        <v>11819.111348024631</v>
      </c>
      <c r="I211" s="393">
        <v>12725.626153177986</v>
      </c>
      <c r="J211" s="393">
        <v>13296.129305962239</v>
      </c>
      <c r="K211" s="393">
        <v>13763.009226576867</v>
      </c>
      <c r="L211" s="393">
        <v>14249.499236946576</v>
      </c>
      <c r="M211" s="393">
        <v>14756.898794069128</v>
      </c>
      <c r="N211" s="394">
        <v>15286.577932399212</v>
      </c>
      <c r="O211" s="252">
        <v>15935.852481959852</v>
      </c>
      <c r="P211" s="252">
        <v>16619.290977803259</v>
      </c>
      <c r="Q211" s="252">
        <v>17339.332662246787</v>
      </c>
      <c r="R211" s="252">
        <v>18098.577100440489</v>
      </c>
      <c r="S211" s="252">
        <v>18897.558410616701</v>
      </c>
      <c r="T211" s="252">
        <v>19517.11818659983</v>
      </c>
      <c r="U211" s="252">
        <v>20164.539707251872</v>
      </c>
      <c r="V211" s="252">
        <v>20841.77371363468</v>
      </c>
      <c r="W211" s="252">
        <v>21559.194239015906</v>
      </c>
      <c r="X211" s="252">
        <v>22328.850664312387</v>
      </c>
      <c r="Y211" s="247"/>
      <c r="Z211" s="247"/>
      <c r="AA211" s="247"/>
    </row>
    <row r="212" spans="1:27" ht="12.75">
      <c r="A212" s="313" t="s">
        <v>32</v>
      </c>
      <c r="B212" s="388">
        <f>NPV(0.1,D212:Y212)</f>
        <v>105568.07645937191</v>
      </c>
      <c r="C212" s="388">
        <f>B212-B202</f>
        <v>727.27378136460902</v>
      </c>
      <c r="D212" s="395">
        <v>2571.3765338673011</v>
      </c>
      <c r="E212" s="396">
        <v>4122.3588739861425</v>
      </c>
      <c r="F212" s="396">
        <v>4096.6246143094913</v>
      </c>
      <c r="G212" s="396">
        <v>16574.02791022267</v>
      </c>
      <c r="H212" s="396">
        <v>21668.793639633717</v>
      </c>
      <c r="I212" s="396">
        <v>16871.146317447157</v>
      </c>
      <c r="J212" s="396">
        <v>15301.776834492463</v>
      </c>
      <c r="K212" s="396">
        <v>15252.203359317435</v>
      </c>
      <c r="L212" s="396">
        <v>15171.690343992315</v>
      </c>
      <c r="M212" s="396">
        <v>15083.360799875656</v>
      </c>
      <c r="N212" s="397">
        <v>14961.156280632456</v>
      </c>
      <c r="O212" s="252">
        <v>14860.339982922589</v>
      </c>
      <c r="P212" s="252">
        <v>14722.190068598353</v>
      </c>
      <c r="Q212" s="252">
        <v>14569.20052021152</v>
      </c>
      <c r="R212" s="252">
        <v>14374.628555339879</v>
      </c>
      <c r="S212" s="252">
        <v>12344.138865843646</v>
      </c>
      <c r="T212" s="252">
        <v>10203.726764239993</v>
      </c>
      <c r="U212" s="252">
        <v>9836.3290045471822</v>
      </c>
      <c r="V212" s="252">
        <v>9429.8825521427025</v>
      </c>
      <c r="W212" s="252">
        <v>15502.120177965659</v>
      </c>
      <c r="X212" s="252">
        <v>25079.191972524277</v>
      </c>
      <c r="Y212" s="247"/>
      <c r="Z212" s="247"/>
      <c r="AA212" s="247"/>
    </row>
    <row r="213" spans="1:27" ht="12.75">
      <c r="A213" s="247"/>
      <c r="B213" s="247"/>
      <c r="C213" s="247"/>
      <c r="D213" s="247"/>
      <c r="E213" s="247"/>
      <c r="F213" s="247"/>
      <c r="G213" s="247"/>
      <c r="H213" s="247"/>
      <c r="I213" s="247"/>
      <c r="J213" s="247"/>
      <c r="K213" s="247"/>
      <c r="L213" s="247"/>
      <c r="M213" s="247"/>
      <c r="N213" s="247"/>
      <c r="O213" s="247"/>
      <c r="P213" s="247"/>
      <c r="Q213" s="247"/>
      <c r="R213" s="247"/>
      <c r="S213" s="247"/>
      <c r="T213" s="247"/>
      <c r="U213" s="247"/>
      <c r="V213" s="247"/>
      <c r="W213" s="247"/>
      <c r="X213" s="247"/>
      <c r="Y213" s="247"/>
      <c r="Z213" s="247"/>
      <c r="AA213" s="247"/>
    </row>
    <row r="214" spans="1:27" ht="12.75">
      <c r="A214" s="292" t="s">
        <v>500</v>
      </c>
      <c r="B214" s="247"/>
      <c r="C214" s="247"/>
      <c r="D214" s="247"/>
      <c r="E214" s="247"/>
      <c r="F214" s="247"/>
      <c r="G214" s="247"/>
      <c r="H214" s="247"/>
      <c r="I214" s="247"/>
      <c r="J214" s="247"/>
      <c r="K214" s="247"/>
      <c r="L214" s="247"/>
      <c r="M214" s="247"/>
      <c r="N214" s="247"/>
      <c r="O214" s="247"/>
      <c r="P214" s="247"/>
      <c r="Q214" s="247"/>
      <c r="R214" s="247"/>
      <c r="S214" s="247"/>
      <c r="T214" s="247"/>
      <c r="U214" s="247"/>
      <c r="V214" s="247"/>
      <c r="W214" s="247"/>
      <c r="X214" s="247"/>
      <c r="Y214" s="247"/>
      <c r="Z214" s="247"/>
      <c r="AA214" s="247"/>
    </row>
    <row r="215" spans="1:27" ht="12.75">
      <c r="A215" s="333">
        <v>36260</v>
      </c>
      <c r="B215" s="247"/>
      <c r="C215" s="247"/>
      <c r="D215" s="247"/>
      <c r="E215" s="247"/>
      <c r="F215" s="247"/>
      <c r="G215" s="247"/>
      <c r="H215" s="247"/>
      <c r="I215" s="247"/>
      <c r="J215" s="247"/>
      <c r="K215" s="247"/>
      <c r="L215" s="247"/>
      <c r="M215" s="247"/>
      <c r="N215" s="247"/>
      <c r="O215" s="247"/>
      <c r="P215" s="247"/>
      <c r="Q215" s="247"/>
      <c r="R215" s="247"/>
      <c r="S215" s="247"/>
      <c r="T215" s="247"/>
      <c r="U215" s="247"/>
      <c r="V215" s="247"/>
      <c r="W215" s="247"/>
      <c r="X215" s="247"/>
      <c r="Y215" s="247"/>
      <c r="Z215" s="247"/>
      <c r="AA215" s="247"/>
    </row>
    <row r="216" spans="1:27" ht="12.75">
      <c r="A216" s="308" t="s">
        <v>416</v>
      </c>
      <c r="B216" s="309">
        <v>72416.031163389081</v>
      </c>
      <c r="C216" s="247"/>
      <c r="D216" s="247"/>
      <c r="E216" s="247"/>
      <c r="F216" s="247"/>
      <c r="G216" s="247"/>
      <c r="H216" s="247"/>
      <c r="I216" s="247"/>
      <c r="J216" s="247"/>
      <c r="K216" s="247"/>
      <c r="L216" s="247"/>
      <c r="M216" s="247"/>
      <c r="N216" s="247"/>
      <c r="O216" s="247"/>
      <c r="P216" s="247"/>
      <c r="Q216" s="247"/>
      <c r="R216" s="247"/>
      <c r="S216" s="247"/>
      <c r="T216" s="247"/>
      <c r="U216" s="247"/>
      <c r="V216" s="247"/>
      <c r="W216" s="247"/>
      <c r="X216" s="247"/>
      <c r="Y216" s="247"/>
      <c r="Z216" s="247"/>
      <c r="AA216" s="247"/>
    </row>
    <row r="217" spans="1:27" ht="12.75">
      <c r="A217" s="310" t="s">
        <v>417</v>
      </c>
      <c r="B217" s="311">
        <v>110990.88929901201</v>
      </c>
      <c r="C217" s="247"/>
      <c r="D217" s="247"/>
      <c r="E217" s="247"/>
      <c r="F217" s="247"/>
      <c r="G217" s="247"/>
      <c r="H217" s="247"/>
      <c r="I217" s="247"/>
      <c r="J217" s="247"/>
      <c r="K217" s="247"/>
      <c r="L217" s="247"/>
      <c r="M217" s="247"/>
      <c r="N217" s="247"/>
      <c r="O217" s="247"/>
      <c r="P217" s="247"/>
      <c r="Q217" s="247"/>
      <c r="R217" s="247"/>
      <c r="S217" s="247"/>
      <c r="T217" s="247"/>
      <c r="U217" s="247"/>
      <c r="V217" s="247"/>
      <c r="W217" s="247"/>
      <c r="X217" s="247"/>
      <c r="Y217" s="247"/>
      <c r="Z217" s="247"/>
      <c r="AA217" s="247"/>
    </row>
    <row r="218" spans="1:27" ht="12.75">
      <c r="A218" s="312" t="s">
        <v>418</v>
      </c>
      <c r="B218" s="387" t="s">
        <v>469</v>
      </c>
      <c r="C218" s="387" t="s">
        <v>470</v>
      </c>
      <c r="D218" s="389">
        <v>2000</v>
      </c>
      <c r="E218" s="390">
        <v>2001</v>
      </c>
      <c r="F218" s="390">
        <v>2002</v>
      </c>
      <c r="G218" s="390">
        <v>2003</v>
      </c>
      <c r="H218" s="390">
        <v>2004</v>
      </c>
      <c r="I218" s="390">
        <v>2005</v>
      </c>
      <c r="J218" s="390">
        <v>2006</v>
      </c>
      <c r="K218" s="390">
        <v>2007</v>
      </c>
      <c r="L218" s="390">
        <v>2008</v>
      </c>
      <c r="M218" s="390">
        <v>2009</v>
      </c>
      <c r="N218" s="391">
        <v>2010</v>
      </c>
      <c r="O218" s="248">
        <v>2011</v>
      </c>
      <c r="P218" s="248">
        <v>2012</v>
      </c>
      <c r="Q218" s="248">
        <v>2013</v>
      </c>
      <c r="R218" s="248">
        <v>2014</v>
      </c>
      <c r="S218" s="248">
        <v>2015</v>
      </c>
      <c r="T218" s="248">
        <v>2016</v>
      </c>
      <c r="U218" s="248">
        <v>2017</v>
      </c>
      <c r="V218" s="248">
        <v>2018</v>
      </c>
      <c r="W218" s="248">
        <v>2019</v>
      </c>
      <c r="X218" s="248">
        <v>2020</v>
      </c>
      <c r="Y218" s="247"/>
      <c r="Z218" s="247"/>
      <c r="AA218" s="247"/>
    </row>
    <row r="219" spans="1:27" ht="12.75">
      <c r="A219" s="312" t="s">
        <v>419</v>
      </c>
      <c r="B219" s="388">
        <f>NPV(0.1,D219:Y219)</f>
        <v>478972.69219109777</v>
      </c>
      <c r="C219" s="388">
        <f>B219-B209</f>
        <v>57.812900208926294</v>
      </c>
      <c r="D219" s="392">
        <v>27070.995068987566</v>
      </c>
      <c r="E219" s="393">
        <v>38057.309482592384</v>
      </c>
      <c r="F219" s="393">
        <v>38345.487530102764</v>
      </c>
      <c r="G219" s="393">
        <v>48884.206855295255</v>
      </c>
      <c r="H219" s="393">
        <v>57583.405196112617</v>
      </c>
      <c r="I219" s="393">
        <v>59012.546992642747</v>
      </c>
      <c r="J219" s="393">
        <v>59991.7213441001</v>
      </c>
      <c r="K219" s="393">
        <v>61073.526411932122</v>
      </c>
      <c r="L219" s="393">
        <v>62255.477655931609</v>
      </c>
      <c r="M219" s="393">
        <v>63541.552907710924</v>
      </c>
      <c r="N219" s="394">
        <v>64959.332746174645</v>
      </c>
      <c r="O219" s="252">
        <v>66675.511217148902</v>
      </c>
      <c r="P219" s="252">
        <v>68535.92572794517</v>
      </c>
      <c r="Q219" s="252">
        <v>70475.054345556011</v>
      </c>
      <c r="R219" s="252">
        <v>72486.453771845321</v>
      </c>
      <c r="S219" s="252">
        <v>74537.047244485075</v>
      </c>
      <c r="T219" s="252">
        <v>76271.960513486236</v>
      </c>
      <c r="U219" s="252">
        <v>78185.311593078339</v>
      </c>
      <c r="V219" s="252">
        <v>79851.606830735211</v>
      </c>
      <c r="W219" s="252">
        <v>81512.633321429472</v>
      </c>
      <c r="X219" s="252">
        <v>82490.521496380854</v>
      </c>
      <c r="Y219" s="247"/>
      <c r="Z219" s="247"/>
      <c r="AA219" s="247"/>
    </row>
    <row r="220" spans="1:27" ht="12.75">
      <c r="A220" s="313" t="s">
        <v>420</v>
      </c>
      <c r="B220" s="388">
        <f>NPV(0.1,D220:Y220)</f>
        <v>215036.42224554758</v>
      </c>
      <c r="C220" s="388">
        <f>B220-B210</f>
        <v>57.812900208955398</v>
      </c>
      <c r="D220" s="392">
        <v>17352.024336884835</v>
      </c>
      <c r="E220" s="393">
        <v>21111.644546048559</v>
      </c>
      <c r="F220" s="393">
        <v>21505.607692625024</v>
      </c>
      <c r="G220" s="393">
        <v>21824.569450850067</v>
      </c>
      <c r="H220" s="393">
        <v>22205.78292732286</v>
      </c>
      <c r="I220" s="393">
        <v>22675.412413463833</v>
      </c>
      <c r="J220" s="393">
        <v>23221.71280330218</v>
      </c>
      <c r="K220" s="393">
        <v>23878.57851302571</v>
      </c>
      <c r="L220" s="393">
        <v>24644.405080820175</v>
      </c>
      <c r="M220" s="393">
        <v>25524.042995164025</v>
      </c>
      <c r="N220" s="394">
        <v>26546.04300311342</v>
      </c>
      <c r="O220" s="252">
        <v>27719.402323336428</v>
      </c>
      <c r="P220" s="252">
        <v>29040.170023101262</v>
      </c>
      <c r="Q220" s="252">
        <v>30443.464377548866</v>
      </c>
      <c r="R220" s="252">
        <v>31923.570939162048</v>
      </c>
      <c r="S220" s="252">
        <v>33451.942057999848</v>
      </c>
      <c r="T220" s="252">
        <v>35042.354483539653</v>
      </c>
      <c r="U220" s="252">
        <v>36840.153908383974</v>
      </c>
      <c r="V220" s="252">
        <v>38421.708401255935</v>
      </c>
      <c r="W220" s="252">
        <v>40017.065544164703</v>
      </c>
      <c r="X220" s="252">
        <v>40977.85789241673</v>
      </c>
      <c r="Y220" s="247"/>
      <c r="Z220" s="247"/>
      <c r="AA220" s="247"/>
    </row>
    <row r="221" spans="1:27" ht="12.75">
      <c r="A221" s="313" t="s">
        <v>35</v>
      </c>
      <c r="B221" s="388">
        <f>NPV(0.1,D221:Y221)</f>
        <v>90511.510552968088</v>
      </c>
      <c r="C221" s="388">
        <f>B221-B211</f>
        <v>0</v>
      </c>
      <c r="D221" s="392">
        <v>175.94659033656106</v>
      </c>
      <c r="E221" s="393">
        <v>516.00577801797772</v>
      </c>
      <c r="F221" s="393">
        <v>538.4872896328668</v>
      </c>
      <c r="G221" s="393">
        <v>6798.769733053241</v>
      </c>
      <c r="H221" s="393">
        <v>11819.111348024635</v>
      </c>
      <c r="I221" s="393">
        <v>12725.626153177989</v>
      </c>
      <c r="J221" s="393">
        <v>13296.129305962239</v>
      </c>
      <c r="K221" s="393">
        <v>13763.009226576867</v>
      </c>
      <c r="L221" s="393">
        <v>14249.499236946585</v>
      </c>
      <c r="M221" s="393">
        <v>14756.898794069128</v>
      </c>
      <c r="N221" s="394">
        <v>15286.577932399212</v>
      </c>
      <c r="O221" s="252">
        <v>15935.852481959855</v>
      </c>
      <c r="P221" s="252">
        <v>16619.290977803252</v>
      </c>
      <c r="Q221" s="252">
        <v>17339.332662246779</v>
      </c>
      <c r="R221" s="252">
        <v>18098.577100440496</v>
      </c>
      <c r="S221" s="252">
        <v>18897.558410616701</v>
      </c>
      <c r="T221" s="252">
        <v>19517.11818659983</v>
      </c>
      <c r="U221" s="252">
        <v>20164.539707251868</v>
      </c>
      <c r="V221" s="252">
        <v>20841.773713634684</v>
      </c>
      <c r="W221" s="252">
        <v>21559.194239015902</v>
      </c>
      <c r="X221" s="252">
        <v>22328.850664312391</v>
      </c>
      <c r="Y221" s="247"/>
      <c r="Z221" s="247"/>
      <c r="AA221" s="247"/>
    </row>
    <row r="222" spans="1:27" ht="12.75">
      <c r="A222" s="313" t="s">
        <v>32</v>
      </c>
      <c r="B222" s="388">
        <f>NPV(0.1,D222:Y222)</f>
        <v>105568.07645937191</v>
      </c>
      <c r="C222" s="388">
        <f>B222-B212</f>
        <v>0</v>
      </c>
      <c r="D222" s="395">
        <v>2571.3765338673002</v>
      </c>
      <c r="E222" s="396">
        <v>4122.3588739861425</v>
      </c>
      <c r="F222" s="396">
        <v>4096.6246143094913</v>
      </c>
      <c r="G222" s="396">
        <v>16574.027910222674</v>
      </c>
      <c r="H222" s="396">
        <v>21668.793639633721</v>
      </c>
      <c r="I222" s="396">
        <v>16871.146317447154</v>
      </c>
      <c r="J222" s="396">
        <v>15301.776834492463</v>
      </c>
      <c r="K222" s="396">
        <v>15252.203359317435</v>
      </c>
      <c r="L222" s="396">
        <v>15171.690343992315</v>
      </c>
      <c r="M222" s="396">
        <v>15083.360799875656</v>
      </c>
      <c r="N222" s="397">
        <v>14961.156280632456</v>
      </c>
      <c r="O222" s="252">
        <v>14860.339982922589</v>
      </c>
      <c r="P222" s="252">
        <v>14722.190068598353</v>
      </c>
      <c r="Q222" s="252">
        <v>14569.200520211516</v>
      </c>
      <c r="R222" s="252">
        <v>14374.628555339883</v>
      </c>
      <c r="S222" s="252">
        <v>12344.138865843646</v>
      </c>
      <c r="T222" s="252">
        <v>10203.726764239993</v>
      </c>
      <c r="U222" s="252">
        <v>9836.3290045471786</v>
      </c>
      <c r="V222" s="252">
        <v>9429.8825521427079</v>
      </c>
      <c r="W222" s="252">
        <v>15502.120177965659</v>
      </c>
      <c r="X222" s="252">
        <v>25079.191972524281</v>
      </c>
      <c r="Y222" s="247"/>
      <c r="Z222" s="247"/>
      <c r="AA222" s="247"/>
    </row>
    <row r="223" spans="1:27" ht="12.75">
      <c r="A223" s="247"/>
      <c r="B223" s="247"/>
      <c r="C223" s="247"/>
      <c r="D223" s="247"/>
      <c r="E223" s="247"/>
      <c r="F223" s="247"/>
      <c r="G223" s="247"/>
      <c r="H223" s="247"/>
      <c r="I223" s="247"/>
      <c r="J223" s="247"/>
      <c r="K223" s="247"/>
      <c r="L223" s="247"/>
      <c r="M223" s="247"/>
      <c r="N223" s="247"/>
      <c r="O223" s="247"/>
      <c r="P223" s="247"/>
      <c r="Q223" s="247"/>
      <c r="R223" s="247"/>
      <c r="S223" s="247"/>
      <c r="T223" s="247"/>
      <c r="U223" s="247"/>
      <c r="V223" s="247"/>
      <c r="W223" s="247"/>
      <c r="X223" s="247"/>
      <c r="Y223" s="247"/>
      <c r="Z223" s="247"/>
      <c r="AA223" s="247"/>
    </row>
    <row r="224" spans="1:27" ht="12.75">
      <c r="A224" s="292" t="s">
        <v>502</v>
      </c>
      <c r="B224" s="247"/>
      <c r="C224" s="247"/>
      <c r="D224" s="247"/>
      <c r="E224" s="247"/>
      <c r="F224" s="247"/>
      <c r="G224" s="247"/>
      <c r="H224" s="247"/>
      <c r="I224" s="247"/>
      <c r="J224" s="247"/>
      <c r="K224" s="247"/>
      <c r="L224" s="247"/>
      <c r="M224" s="247"/>
      <c r="N224" s="247"/>
      <c r="O224" s="247"/>
      <c r="P224" s="247"/>
      <c r="Q224" s="247"/>
      <c r="R224" s="247"/>
      <c r="S224" s="247"/>
      <c r="T224" s="247"/>
      <c r="U224" s="247"/>
      <c r="V224" s="247"/>
      <c r="W224" s="247"/>
      <c r="X224" s="247"/>
      <c r="Y224" s="247"/>
      <c r="Z224" s="247"/>
      <c r="AA224" s="247"/>
    </row>
    <row r="225" spans="1:27" ht="12.75">
      <c r="A225" s="333">
        <v>36260</v>
      </c>
      <c r="B225" s="247"/>
      <c r="C225" s="247"/>
      <c r="D225" s="247"/>
      <c r="E225" s="247"/>
      <c r="F225" s="247"/>
      <c r="G225" s="247"/>
      <c r="H225" s="247"/>
      <c r="I225" s="247"/>
      <c r="J225" s="247"/>
      <c r="K225" s="247"/>
      <c r="L225" s="247"/>
      <c r="M225" s="247"/>
      <c r="N225" s="247"/>
      <c r="O225" s="247"/>
      <c r="P225" s="247"/>
      <c r="Q225" s="247"/>
      <c r="R225" s="247"/>
      <c r="S225" s="247"/>
      <c r="T225" s="247"/>
      <c r="U225" s="247"/>
      <c r="V225" s="247"/>
      <c r="W225" s="247"/>
      <c r="X225" s="247"/>
      <c r="Y225" s="247"/>
      <c r="Z225" s="247"/>
      <c r="AA225" s="247"/>
    </row>
    <row r="226" spans="1:27" ht="12.75">
      <c r="A226" s="308" t="s">
        <v>416</v>
      </c>
      <c r="B226" s="309">
        <v>72416.031163389111</v>
      </c>
      <c r="C226" s="247"/>
      <c r="D226" s="247"/>
      <c r="E226" s="247"/>
      <c r="F226" s="247"/>
      <c r="G226" s="247"/>
      <c r="H226" s="247"/>
      <c r="I226" s="247"/>
      <c r="J226" s="247"/>
      <c r="K226" s="247"/>
      <c r="L226" s="247"/>
      <c r="M226" s="247"/>
      <c r="N226" s="247"/>
      <c r="O226" s="247"/>
      <c r="P226" s="247"/>
      <c r="Q226" s="247"/>
      <c r="R226" s="247"/>
      <c r="S226" s="247"/>
      <c r="T226" s="247"/>
      <c r="U226" s="247"/>
      <c r="V226" s="247"/>
      <c r="W226" s="247"/>
      <c r="X226" s="247"/>
      <c r="Y226" s="247"/>
      <c r="Z226" s="247"/>
      <c r="AA226" s="247"/>
    </row>
    <row r="227" spans="1:27" ht="12.75">
      <c r="A227" s="310" t="s">
        <v>417</v>
      </c>
      <c r="B227" s="311">
        <v>110990.88929901204</v>
      </c>
      <c r="C227" s="247"/>
      <c r="D227" s="247"/>
      <c r="E227" s="247"/>
      <c r="F227" s="247"/>
      <c r="G227" s="247"/>
      <c r="H227" s="247"/>
      <c r="I227" s="247"/>
      <c r="J227" s="247"/>
      <c r="K227" s="247"/>
      <c r="L227" s="247"/>
      <c r="M227" s="247"/>
      <c r="N227" s="247"/>
      <c r="O227" s="247"/>
      <c r="P227" s="247"/>
      <c r="Q227" s="247"/>
      <c r="R227" s="247"/>
      <c r="S227" s="247"/>
      <c r="T227" s="247"/>
      <c r="U227" s="247"/>
      <c r="V227" s="247"/>
      <c r="W227" s="247"/>
      <c r="X227" s="247"/>
      <c r="Y227" s="247"/>
      <c r="Z227" s="247"/>
      <c r="AA227" s="247"/>
    </row>
    <row r="228" spans="1:27" ht="12.75">
      <c r="A228" s="312" t="s">
        <v>418</v>
      </c>
      <c r="B228" s="387" t="s">
        <v>469</v>
      </c>
      <c r="C228" s="387" t="s">
        <v>470</v>
      </c>
      <c r="D228" s="389">
        <v>2000</v>
      </c>
      <c r="E228" s="390">
        <v>2001</v>
      </c>
      <c r="F228" s="390">
        <v>2002</v>
      </c>
      <c r="G228" s="390">
        <v>2003</v>
      </c>
      <c r="H228" s="390">
        <v>2004</v>
      </c>
      <c r="I228" s="390">
        <v>2005</v>
      </c>
      <c r="J228" s="390">
        <v>2006</v>
      </c>
      <c r="K228" s="390">
        <v>2007</v>
      </c>
      <c r="L228" s="390">
        <v>2008</v>
      </c>
      <c r="M228" s="390">
        <v>2009</v>
      </c>
      <c r="N228" s="391">
        <v>2010</v>
      </c>
      <c r="O228" s="248">
        <v>2011</v>
      </c>
      <c r="P228" s="248">
        <v>2012</v>
      </c>
      <c r="Q228" s="248">
        <v>2013</v>
      </c>
      <c r="R228" s="248">
        <v>2014</v>
      </c>
      <c r="S228" s="248">
        <v>2015</v>
      </c>
      <c r="T228" s="248">
        <v>2016</v>
      </c>
      <c r="U228" s="248">
        <v>2017</v>
      </c>
      <c r="V228" s="248">
        <v>2018</v>
      </c>
      <c r="W228" s="248">
        <v>2019</v>
      </c>
      <c r="X228" s="248">
        <v>2020</v>
      </c>
      <c r="Y228" s="247"/>
      <c r="Z228" s="247"/>
      <c r="AA228" s="247"/>
    </row>
    <row r="229" spans="1:27" ht="12.75">
      <c r="A229" s="312" t="s">
        <v>419</v>
      </c>
      <c r="B229" s="388">
        <f>NPV(0.1,D229:Y229)</f>
        <v>461777.60733673006</v>
      </c>
      <c r="C229" s="388">
        <f>B229-B219</f>
        <v>-17195.084854367713</v>
      </c>
      <c r="D229" s="392">
        <v>30465.224607752563</v>
      </c>
      <c r="E229" s="393">
        <v>39401.872967582385</v>
      </c>
      <c r="F229" s="393">
        <v>39425.825859782759</v>
      </c>
      <c r="G229" s="393">
        <v>49770.661849535252</v>
      </c>
      <c r="H229" s="393">
        <v>58210.955004612617</v>
      </c>
      <c r="I229" s="393">
        <v>59307.894256882741</v>
      </c>
      <c r="J229" s="393">
        <v>59886.297567400099</v>
      </c>
      <c r="K229" s="393">
        <v>60461.523310622128</v>
      </c>
      <c r="L229" s="393">
        <v>61032.860269531608</v>
      </c>
      <c r="M229" s="393">
        <v>61599.557413900919</v>
      </c>
      <c r="N229" s="394">
        <v>62160.822151594635</v>
      </c>
      <c r="O229" s="252">
        <v>62874.481912488889</v>
      </c>
      <c r="P229" s="252">
        <v>63590.511858005171</v>
      </c>
      <c r="Q229" s="252">
        <v>64308.41190543602</v>
      </c>
      <c r="R229" s="252">
        <v>65027.649833945317</v>
      </c>
      <c r="S229" s="252">
        <v>65747.659806355077</v>
      </c>
      <c r="T229" s="252">
        <v>66099.972094886238</v>
      </c>
      <c r="U229" s="252">
        <v>66429.745565808349</v>
      </c>
      <c r="V229" s="252">
        <v>66735.310809005212</v>
      </c>
      <c r="W229" s="252">
        <v>67014.918534689466</v>
      </c>
      <c r="X229" s="252">
        <v>50037.22051213446</v>
      </c>
      <c r="Y229" s="247"/>
      <c r="Z229" s="247"/>
      <c r="AA229" s="247"/>
    </row>
    <row r="230" spans="1:27" ht="12.75">
      <c r="A230" s="313" t="s">
        <v>420</v>
      </c>
      <c r="B230" s="388">
        <f>NPV(0.1,D230:Y230)</f>
        <v>197841.33739117996</v>
      </c>
      <c r="C230" s="388">
        <f>B230-B220</f>
        <v>-17195.084854367626</v>
      </c>
      <c r="D230" s="392">
        <v>20746.253875649836</v>
      </c>
      <c r="E230" s="393">
        <v>22456.208031038568</v>
      </c>
      <c r="F230" s="393">
        <v>22585.946022305026</v>
      </c>
      <c r="G230" s="393">
        <v>22711.024445090068</v>
      </c>
      <c r="H230" s="393">
        <v>22833.332735822867</v>
      </c>
      <c r="I230" s="393">
        <v>22970.759677703831</v>
      </c>
      <c r="J230" s="393">
        <v>23116.289026602179</v>
      </c>
      <c r="K230" s="393">
        <v>23266.575411715705</v>
      </c>
      <c r="L230" s="393">
        <v>23421.787694420182</v>
      </c>
      <c r="M230" s="393">
        <v>23582.047501354024</v>
      </c>
      <c r="N230" s="394">
        <v>23747.532408533418</v>
      </c>
      <c r="O230" s="252">
        <v>23918.373018676422</v>
      </c>
      <c r="P230" s="252">
        <v>24094.756153161255</v>
      </c>
      <c r="Q230" s="252">
        <v>24276.82193742886</v>
      </c>
      <c r="R230" s="252">
        <v>24464.767001262044</v>
      </c>
      <c r="S230" s="252">
        <v>24662.55461986985</v>
      </c>
      <c r="T230" s="252">
        <v>24870.366064939655</v>
      </c>
      <c r="U230" s="252">
        <v>25084.587881113974</v>
      </c>
      <c r="V230" s="252">
        <v>25305.41237952594</v>
      </c>
      <c r="W230" s="252">
        <v>25519.350757424701</v>
      </c>
      <c r="X230" s="252">
        <v>8524.5569081703234</v>
      </c>
      <c r="Y230" s="247"/>
      <c r="Z230" s="247"/>
      <c r="AA230" s="247"/>
    </row>
    <row r="231" spans="1:27" ht="12.75">
      <c r="A231" s="313" t="s">
        <v>35</v>
      </c>
      <c r="B231" s="388">
        <f>NPV(0.1,D231:Y231)</f>
        <v>90511.510552968073</v>
      </c>
      <c r="C231" s="388">
        <f>B231-B221</f>
        <v>0</v>
      </c>
      <c r="D231" s="392">
        <v>175.94659033655944</v>
      </c>
      <c r="E231" s="393">
        <v>516.0057780179734</v>
      </c>
      <c r="F231" s="393">
        <v>538.48728963286362</v>
      </c>
      <c r="G231" s="393">
        <v>6798.7697330532392</v>
      </c>
      <c r="H231" s="393">
        <v>11819.111348024635</v>
      </c>
      <c r="I231" s="393">
        <v>12725.626153177986</v>
      </c>
      <c r="J231" s="393">
        <v>13296.129305962239</v>
      </c>
      <c r="K231" s="393">
        <v>13763.009226576876</v>
      </c>
      <c r="L231" s="393">
        <v>14249.499236946576</v>
      </c>
      <c r="M231" s="393">
        <v>14756.898794069128</v>
      </c>
      <c r="N231" s="394">
        <v>15286.577932399212</v>
      </c>
      <c r="O231" s="252">
        <v>15935.852481959853</v>
      </c>
      <c r="P231" s="252">
        <v>16619.290977803263</v>
      </c>
      <c r="Q231" s="252">
        <v>17339.332662246787</v>
      </c>
      <c r="R231" s="252">
        <v>18098.577100440496</v>
      </c>
      <c r="S231" s="252">
        <v>18897.558410616701</v>
      </c>
      <c r="T231" s="252">
        <v>19517.11818659983</v>
      </c>
      <c r="U231" s="252">
        <v>20164.539707251875</v>
      </c>
      <c r="V231" s="252">
        <v>20841.773713634691</v>
      </c>
      <c r="W231" s="252">
        <v>21559.194239015898</v>
      </c>
      <c r="X231" s="252">
        <v>22328.850664312398</v>
      </c>
      <c r="Y231" s="247"/>
      <c r="Z231" s="247"/>
      <c r="AA231" s="247"/>
    </row>
    <row r="232" spans="1:27" ht="12.75">
      <c r="A232" s="313" t="s">
        <v>32</v>
      </c>
      <c r="B232" s="388">
        <f>NPV(0.1,D232:Y232)</f>
        <v>105568.07645937191</v>
      </c>
      <c r="C232" s="388">
        <f>B232-B222</f>
        <v>0</v>
      </c>
      <c r="D232" s="395">
        <v>2571.3765338673002</v>
      </c>
      <c r="E232" s="396">
        <v>4122.3588739861425</v>
      </c>
      <c r="F232" s="396">
        <v>4096.6246143094904</v>
      </c>
      <c r="G232" s="396">
        <v>16574.027910222678</v>
      </c>
      <c r="H232" s="396">
        <v>21668.793639633721</v>
      </c>
      <c r="I232" s="396">
        <v>16871.146317447161</v>
      </c>
      <c r="J232" s="396">
        <v>15301.776834492463</v>
      </c>
      <c r="K232" s="396">
        <v>15252.203359317438</v>
      </c>
      <c r="L232" s="396">
        <v>15171.690343992315</v>
      </c>
      <c r="M232" s="396">
        <v>15083.360799875656</v>
      </c>
      <c r="N232" s="397">
        <v>14961.156280632456</v>
      </c>
      <c r="O232" s="252">
        <v>14860.339982922585</v>
      </c>
      <c r="P232" s="252">
        <v>14722.190068598353</v>
      </c>
      <c r="Q232" s="252">
        <v>14569.200520211516</v>
      </c>
      <c r="R232" s="252">
        <v>14374.628555339879</v>
      </c>
      <c r="S232" s="252">
        <v>12344.138865843648</v>
      </c>
      <c r="T232" s="252">
        <v>10203.72676424</v>
      </c>
      <c r="U232" s="252">
        <v>9836.3290045471822</v>
      </c>
      <c r="V232" s="252">
        <v>9429.8825521427025</v>
      </c>
      <c r="W232" s="252">
        <v>15502.120177965651</v>
      </c>
      <c r="X232" s="252">
        <v>25079.191972524288</v>
      </c>
      <c r="Y232" s="247"/>
      <c r="Z232" s="247"/>
      <c r="AA232" s="247"/>
    </row>
    <row r="233" spans="1:27" ht="12.75">
      <c r="A233" s="247"/>
      <c r="B233" s="247"/>
      <c r="C233" s="247"/>
      <c r="D233" s="247"/>
      <c r="E233" s="247"/>
      <c r="F233" s="247"/>
      <c r="G233" s="247"/>
      <c r="H233" s="247"/>
      <c r="I233" s="247"/>
      <c r="J233" s="247"/>
      <c r="K233" s="247"/>
      <c r="L233" s="247"/>
      <c r="M233" s="247"/>
      <c r="N233" s="247"/>
      <c r="O233" s="247"/>
      <c r="P233" s="247"/>
      <c r="Q233" s="247"/>
      <c r="R233" s="247"/>
      <c r="S233" s="247"/>
      <c r="T233" s="247"/>
      <c r="U233" s="247"/>
      <c r="V233" s="247"/>
      <c r="W233" s="247"/>
      <c r="X233" s="247"/>
      <c r="Y233" s="247"/>
      <c r="Z233" s="247"/>
      <c r="AA233" s="247"/>
    </row>
    <row r="234" spans="1:27" ht="12.75">
      <c r="A234" s="292" t="s">
        <v>526</v>
      </c>
      <c r="B234" s="247"/>
      <c r="C234" s="247"/>
      <c r="D234" s="247"/>
      <c r="E234" s="247"/>
      <c r="F234" s="247"/>
      <c r="G234" s="247"/>
      <c r="H234" s="247"/>
      <c r="I234" s="247"/>
      <c r="J234" s="247"/>
      <c r="K234" s="247"/>
      <c r="L234" s="247"/>
      <c r="M234" s="247"/>
      <c r="N234" s="247"/>
      <c r="O234" s="247"/>
      <c r="P234" s="247"/>
      <c r="Q234" s="247"/>
      <c r="R234" s="247"/>
      <c r="S234" s="247"/>
      <c r="T234" s="247"/>
      <c r="U234" s="247"/>
      <c r="V234" s="247"/>
      <c r="W234" s="247"/>
      <c r="X234" s="247"/>
      <c r="Y234" s="247"/>
      <c r="Z234" s="247"/>
      <c r="AA234" s="247"/>
    </row>
    <row r="235" spans="1:27" ht="12.75">
      <c r="A235" s="333">
        <v>36263</v>
      </c>
      <c r="B235" s="247"/>
      <c r="C235" s="247"/>
      <c r="D235" s="247"/>
      <c r="E235" s="247"/>
      <c r="F235" s="247"/>
      <c r="G235" s="247"/>
      <c r="H235" s="247"/>
      <c r="I235" s="247"/>
      <c r="J235" s="247"/>
      <c r="K235" s="247"/>
      <c r="L235" s="247"/>
      <c r="M235" s="247"/>
      <c r="N235" s="247"/>
      <c r="O235" s="247"/>
      <c r="P235" s="247"/>
      <c r="Q235" s="247"/>
      <c r="R235" s="247"/>
      <c r="S235" s="247"/>
      <c r="T235" s="247"/>
      <c r="U235" s="247"/>
      <c r="V235" s="247"/>
      <c r="W235" s="247"/>
      <c r="X235" s="247"/>
      <c r="Y235" s="247"/>
      <c r="Z235" s="247"/>
      <c r="AA235" s="247"/>
    </row>
    <row r="236" spans="1:27" ht="12.75">
      <c r="A236" s="308" t="s">
        <v>416</v>
      </c>
      <c r="B236" s="309">
        <v>82557.178222562638</v>
      </c>
      <c r="C236" s="247"/>
      <c r="D236" s="247"/>
      <c r="E236" s="247"/>
      <c r="F236" s="247"/>
      <c r="G236" s="247"/>
      <c r="H236" s="247"/>
      <c r="I236" s="247"/>
      <c r="J236" s="247"/>
      <c r="K236" s="247"/>
      <c r="L236" s="247"/>
      <c r="M236" s="247"/>
      <c r="N236" s="247"/>
      <c r="O236" s="247"/>
      <c r="P236" s="247"/>
      <c r="Q236" s="247"/>
      <c r="R236" s="247"/>
      <c r="S236" s="247"/>
      <c r="T236" s="247"/>
      <c r="U236" s="247"/>
      <c r="V236" s="247"/>
      <c r="W236" s="247"/>
      <c r="X236" s="247"/>
      <c r="Y236" s="247"/>
      <c r="Z236" s="247"/>
      <c r="AA236" s="247"/>
    </row>
    <row r="237" spans="1:27" ht="12.75">
      <c r="A237" s="310" t="s">
        <v>417</v>
      </c>
      <c r="B237" s="311">
        <v>124192.37030366636</v>
      </c>
      <c r="C237" s="247"/>
      <c r="D237" s="247"/>
      <c r="E237" s="247"/>
      <c r="F237" s="247"/>
      <c r="G237" s="247"/>
      <c r="H237" s="247"/>
      <c r="I237" s="247"/>
      <c r="J237" s="247"/>
      <c r="K237" s="247"/>
      <c r="L237" s="247"/>
      <c r="M237" s="247"/>
      <c r="N237" s="247"/>
      <c r="O237" s="247"/>
      <c r="P237" s="247"/>
      <c r="Q237" s="247"/>
      <c r="R237" s="247"/>
      <c r="S237" s="247"/>
      <c r="T237" s="247"/>
      <c r="U237" s="247"/>
      <c r="V237" s="247"/>
      <c r="W237" s="247"/>
      <c r="X237" s="247"/>
      <c r="Y237" s="247"/>
      <c r="Z237" s="247"/>
      <c r="AA237" s="247"/>
    </row>
    <row r="238" spans="1:27" ht="12.75">
      <c r="A238" s="312" t="s">
        <v>418</v>
      </c>
      <c r="B238" s="387" t="s">
        <v>469</v>
      </c>
      <c r="C238" s="387" t="s">
        <v>470</v>
      </c>
      <c r="D238" s="389">
        <v>2000</v>
      </c>
      <c r="E238" s="390">
        <v>2001</v>
      </c>
      <c r="F238" s="390">
        <v>2002</v>
      </c>
      <c r="G238" s="390">
        <v>2003</v>
      </c>
      <c r="H238" s="390">
        <v>2004</v>
      </c>
      <c r="I238" s="390">
        <v>2005</v>
      </c>
      <c r="J238" s="390">
        <v>2006</v>
      </c>
      <c r="K238" s="390">
        <v>2007</v>
      </c>
      <c r="L238" s="390">
        <v>2008</v>
      </c>
      <c r="M238" s="390">
        <v>2009</v>
      </c>
      <c r="N238" s="391">
        <v>2010</v>
      </c>
      <c r="O238" s="248">
        <v>2011</v>
      </c>
      <c r="P238" s="248">
        <v>2012</v>
      </c>
      <c r="Q238" s="248">
        <v>2013</v>
      </c>
      <c r="R238" s="248">
        <v>2014</v>
      </c>
      <c r="S238" s="248">
        <v>2015</v>
      </c>
      <c r="T238" s="248">
        <v>2016</v>
      </c>
      <c r="U238" s="248">
        <v>2017</v>
      </c>
      <c r="V238" s="248">
        <v>2018</v>
      </c>
      <c r="W238" s="248">
        <v>2019</v>
      </c>
      <c r="X238" s="248">
        <v>2020</v>
      </c>
      <c r="Y238" s="247"/>
      <c r="Z238" s="247"/>
      <c r="AA238" s="247"/>
    </row>
    <row r="239" spans="1:27" ht="12.75">
      <c r="A239" s="312" t="s">
        <v>419</v>
      </c>
      <c r="B239" s="388">
        <f>NPV(0.1,D239:Y239)</f>
        <v>482570.16235306382</v>
      </c>
      <c r="C239" s="388">
        <f>B239-B229</f>
        <v>20792.555016333761</v>
      </c>
      <c r="D239" s="392">
        <v>32035.699260000001</v>
      </c>
      <c r="E239" s="393">
        <v>40381.414242800005</v>
      </c>
      <c r="F239" s="393">
        <v>40454.765675084003</v>
      </c>
      <c r="G239" s="393">
        <v>51741.582161122635</v>
      </c>
      <c r="H239" s="393">
        <v>60870.782227374708</v>
      </c>
      <c r="I239" s="393">
        <v>62021.700598154785</v>
      </c>
      <c r="J239" s="393">
        <v>62655.702400737406</v>
      </c>
      <c r="K239" s="393">
        <v>63288.194590786647</v>
      </c>
      <c r="L239" s="393">
        <v>63918.515989928164</v>
      </c>
      <c r="M239" s="393">
        <v>64545.967107736469</v>
      </c>
      <c r="N239" s="394">
        <v>65169.808438072352</v>
      </c>
      <c r="O239" s="252">
        <v>65947.922089388027</v>
      </c>
      <c r="P239" s="252">
        <v>66730.339542038389</v>
      </c>
      <c r="Q239" s="252">
        <v>67516.618721817329</v>
      </c>
      <c r="R239" s="252">
        <v>68306.28715664515</v>
      </c>
      <c r="S239" s="252">
        <v>69098.840550563022</v>
      </c>
      <c r="T239" s="252">
        <v>69525.872563247496</v>
      </c>
      <c r="U239" s="252">
        <v>69932.607350047547</v>
      </c>
      <c r="V239" s="252">
        <v>70317.442748598696</v>
      </c>
      <c r="W239" s="252">
        <v>70678.698734297839</v>
      </c>
      <c r="X239" s="252">
        <v>53090.137690515221</v>
      </c>
      <c r="Y239" s="247"/>
      <c r="Z239" s="247"/>
      <c r="AA239" s="247"/>
    </row>
    <row r="240" spans="1:27" ht="12.75">
      <c r="A240" s="313" t="s">
        <v>420</v>
      </c>
      <c r="B240" s="388">
        <f>NPV(0.1,D240:Y240)</f>
        <v>205728.43829486603</v>
      </c>
      <c r="C240" s="388">
        <f>B240-B230</f>
        <v>7887.1009036860778</v>
      </c>
      <c r="D240" s="392">
        <v>22271.566348256576</v>
      </c>
      <c r="E240" s="393">
        <v>23310.280788178174</v>
      </c>
      <c r="F240" s="393">
        <v>23440.137468747424</v>
      </c>
      <c r="G240" s="393">
        <v>23564.547719398633</v>
      </c>
      <c r="H240" s="393">
        <v>23685.599478998847</v>
      </c>
      <c r="I240" s="393">
        <v>23823.378639103386</v>
      </c>
      <c r="J240" s="393">
        <v>23968.667818472113</v>
      </c>
      <c r="K240" s="393">
        <v>24118.706828970124</v>
      </c>
      <c r="L240" s="393">
        <v>24273.664315820621</v>
      </c>
      <c r="M240" s="393">
        <v>24433.661683024864</v>
      </c>
      <c r="N240" s="394">
        <v>24598.876277282772</v>
      </c>
      <c r="O240" s="252">
        <v>24769.438465116647</v>
      </c>
      <c r="P240" s="252">
        <v>24945.534824623075</v>
      </c>
      <c r="Q240" s="252">
        <v>25127.305230662929</v>
      </c>
      <c r="R240" s="252">
        <v>25314.946054921522</v>
      </c>
      <c r="S240" s="252">
        <v>25512.420306767501</v>
      </c>
      <c r="T240" s="252">
        <v>25719.908984072626</v>
      </c>
      <c r="U240" s="252">
        <v>25933.798349449324</v>
      </c>
      <c r="V240" s="252">
        <v>26154.280423539742</v>
      </c>
      <c r="W240" s="252">
        <v>26367.764764430394</v>
      </c>
      <c r="X240" s="252">
        <v>8677.6469081703235</v>
      </c>
      <c r="Y240" s="247"/>
      <c r="Z240" s="247"/>
      <c r="AA240" s="247"/>
    </row>
    <row r="241" spans="1:29" ht="12.75">
      <c r="A241" s="313" t="s">
        <v>35</v>
      </c>
      <c r="B241" s="388">
        <f>NPV(0.1,D241:Y241)</f>
        <v>95805.243563902681</v>
      </c>
      <c r="C241" s="388">
        <f>B241-B231</f>
        <v>5293.7330109346076</v>
      </c>
      <c r="D241" s="392">
        <v>24.335889714635702</v>
      </c>
      <c r="E241" s="393">
        <v>272.85669226299552</v>
      </c>
      <c r="F241" s="393">
        <v>304.84005929088721</v>
      </c>
      <c r="G241" s="393">
        <v>7114.2492792313296</v>
      </c>
      <c r="H241" s="393">
        <v>12543.91743834206</v>
      </c>
      <c r="I241" s="393">
        <v>13487.977034992675</v>
      </c>
      <c r="J241" s="393">
        <v>14098.796984343457</v>
      </c>
      <c r="K241" s="393">
        <v>14608.598818188761</v>
      </c>
      <c r="L241" s="393">
        <v>15140.805660974565</v>
      </c>
      <c r="M241" s="393">
        <v>15696.92139821729</v>
      </c>
      <c r="N241" s="394">
        <v>16278.536272221276</v>
      </c>
      <c r="O241" s="252">
        <v>16983.203345288159</v>
      </c>
      <c r="P241" s="252">
        <v>17725.746753366104</v>
      </c>
      <c r="Q241" s="252">
        <v>18508.881159476146</v>
      </c>
      <c r="R241" s="252">
        <v>19335.502936016499</v>
      </c>
      <c r="S241" s="252">
        <v>20206.466086522334</v>
      </c>
      <c r="T241" s="252">
        <v>20902.956994424108</v>
      </c>
      <c r="U241" s="252">
        <v>21632.630604241866</v>
      </c>
      <c r="V241" s="252">
        <v>22397.838327618014</v>
      </c>
      <c r="W241" s="252">
        <v>23209.447363941734</v>
      </c>
      <c r="X241" s="252">
        <v>24079.852403238059</v>
      </c>
      <c r="Y241" s="247"/>
      <c r="Z241" s="247"/>
      <c r="AA241" s="247"/>
    </row>
    <row r="242" spans="1:29" ht="12.75">
      <c r="A242" s="313" t="s">
        <v>32</v>
      </c>
      <c r="B242" s="388">
        <f>NPV(0.1,D242:Y242)</f>
        <v>109896.8581119696</v>
      </c>
      <c r="C242" s="388">
        <f>B242-B232</f>
        <v>4328.7816525976959</v>
      </c>
      <c r="D242" s="395">
        <v>2582.363102568354</v>
      </c>
      <c r="E242" s="396">
        <v>4152.8815038647363</v>
      </c>
      <c r="F242" s="396">
        <v>4139.1355155799574</v>
      </c>
      <c r="G242" s="396">
        <v>17258.433595555951</v>
      </c>
      <c r="H242" s="396">
        <v>22775.924433380213</v>
      </c>
      <c r="I242" s="396">
        <v>17216.408211253853</v>
      </c>
      <c r="J242" s="396">
        <v>15932.711953620435</v>
      </c>
      <c r="K242" s="396">
        <v>15889.316258358733</v>
      </c>
      <c r="L242" s="396">
        <v>15814.146245609652</v>
      </c>
      <c r="M242" s="396">
        <v>15730.218274552873</v>
      </c>
      <c r="N242" s="397">
        <v>15611.357518400442</v>
      </c>
      <c r="O242" s="252">
        <v>15512.700250940265</v>
      </c>
      <c r="P242" s="252">
        <v>15375.38628838072</v>
      </c>
      <c r="Q242" s="252">
        <v>15221.758892967626</v>
      </c>
      <c r="R242" s="252">
        <v>15024.911158127539</v>
      </c>
      <c r="S242" s="252">
        <v>12990.329135029875</v>
      </c>
      <c r="T242" s="252">
        <v>10843.813776040121</v>
      </c>
      <c r="U242" s="252">
        <v>10468.090455160869</v>
      </c>
      <c r="V242" s="252">
        <v>10050.866332169295</v>
      </c>
      <c r="W242" s="252">
        <v>16157.902205746705</v>
      </c>
      <c r="X242" s="252">
        <v>26830.193711449949</v>
      </c>
      <c r="Y242" s="247"/>
      <c r="Z242" s="247"/>
      <c r="AA242" s="247"/>
    </row>
    <row r="243" spans="1:29" ht="12.75">
      <c r="A243" s="247"/>
      <c r="B243" s="247"/>
      <c r="C243" s="247"/>
      <c r="D243" s="247"/>
      <c r="E243" s="247"/>
      <c r="F243" s="247"/>
      <c r="G243" s="247"/>
      <c r="H243" s="247"/>
      <c r="I243" s="247"/>
      <c r="J243" s="247"/>
      <c r="K243" s="247"/>
      <c r="L243" s="247"/>
      <c r="M243" s="247"/>
      <c r="N243" s="247"/>
      <c r="O243" s="247"/>
      <c r="P243" s="247"/>
      <c r="Q243" s="247"/>
      <c r="R243" s="247"/>
      <c r="S243" s="247"/>
      <c r="T243" s="247"/>
      <c r="U243" s="247"/>
      <c r="V243" s="247"/>
      <c r="W243" s="247"/>
      <c r="X243" s="247"/>
      <c r="Y243" s="247"/>
      <c r="Z243" s="247"/>
      <c r="AA243" s="247"/>
    </row>
    <row r="244" spans="1:29" ht="12.75">
      <c r="A244" s="292" t="s">
        <v>527</v>
      </c>
      <c r="B244" s="247"/>
      <c r="C244" s="247"/>
      <c r="D244" s="247"/>
      <c r="E244" s="247"/>
      <c r="F244" s="247"/>
      <c r="G244" s="247"/>
      <c r="H244" s="247"/>
      <c r="I244" s="247"/>
      <c r="J244" s="247"/>
      <c r="K244" s="247"/>
      <c r="L244" s="247"/>
      <c r="M244" s="247"/>
      <c r="N244" s="247"/>
      <c r="O244" s="247"/>
      <c r="P244" s="247"/>
      <c r="Q244" s="247"/>
      <c r="R244" s="247"/>
      <c r="S244" s="247"/>
      <c r="T244" s="247"/>
      <c r="U244" s="247"/>
      <c r="V244" s="247"/>
      <c r="W244" s="247"/>
      <c r="X244" s="247"/>
      <c r="Y244" s="247"/>
      <c r="Z244" s="247"/>
      <c r="AA244" s="247"/>
    </row>
    <row r="245" spans="1:29" s="55" customFormat="1" ht="12.75" outlineLevel="1">
      <c r="A245" s="333">
        <v>36264</v>
      </c>
      <c r="B245" s="247"/>
      <c r="C245" s="247"/>
      <c r="D245" s="247"/>
      <c r="E245" s="247"/>
      <c r="F245" s="247"/>
      <c r="G245" s="247"/>
      <c r="H245" s="247"/>
      <c r="I245" s="247"/>
      <c r="J245" s="247"/>
      <c r="K245" s="247"/>
      <c r="L245" s="247"/>
      <c r="M245" s="247"/>
      <c r="N245" s="247"/>
      <c r="O245" s="247"/>
      <c r="P245" s="247"/>
      <c r="Q245" s="247"/>
      <c r="R245" s="247"/>
      <c r="S245" s="247"/>
      <c r="T245" s="247"/>
      <c r="U245" s="247"/>
      <c r="V245" s="247"/>
      <c r="W245" s="247"/>
      <c r="X245" s="247"/>
      <c r="Y245" s="247"/>
      <c r="Z245" s="247"/>
      <c r="AA245" s="247"/>
      <c r="AB245" s="314"/>
      <c r="AC245" s="314"/>
    </row>
    <row r="246" spans="1:29" s="55" customFormat="1" ht="12.75" outlineLevel="1">
      <c r="A246" s="308" t="s">
        <v>416</v>
      </c>
      <c r="B246" s="309">
        <v>88146.525337320854</v>
      </c>
      <c r="C246" s="247"/>
      <c r="D246" s="247"/>
      <c r="E246" s="247"/>
      <c r="F246" s="247"/>
      <c r="G246" s="247"/>
      <c r="H246" s="247"/>
      <c r="I246" s="247"/>
      <c r="J246" s="247"/>
      <c r="K246" s="247"/>
      <c r="L246" s="247"/>
      <c r="M246" s="247"/>
      <c r="N246" s="247"/>
      <c r="O246" s="247"/>
      <c r="P246" s="247"/>
      <c r="Q246" s="247"/>
      <c r="R246" s="247"/>
      <c r="S246" s="247"/>
      <c r="T246" s="247"/>
      <c r="U246" s="247"/>
      <c r="V246" s="247"/>
      <c r="W246" s="247"/>
      <c r="X246" s="247"/>
      <c r="Y246" s="247"/>
      <c r="Z246" s="247"/>
      <c r="AA246" s="247"/>
      <c r="AB246" s="314"/>
      <c r="AC246" s="314"/>
    </row>
    <row r="247" spans="1:29" ht="12.75">
      <c r="A247" s="310" t="s">
        <v>417</v>
      </c>
      <c r="B247" s="311">
        <v>129701.24468569695</v>
      </c>
      <c r="C247" s="247"/>
      <c r="D247" s="247"/>
      <c r="E247" s="247"/>
      <c r="F247" s="247"/>
      <c r="G247" s="247"/>
      <c r="H247" s="247"/>
      <c r="I247" s="247"/>
      <c r="J247" s="247"/>
      <c r="K247" s="247"/>
      <c r="L247" s="247"/>
      <c r="M247" s="247"/>
      <c r="N247" s="247"/>
      <c r="O247" s="247"/>
      <c r="P247" s="247"/>
      <c r="Q247" s="247"/>
      <c r="R247" s="247"/>
      <c r="S247" s="247"/>
      <c r="T247" s="247"/>
      <c r="U247" s="247"/>
      <c r="V247" s="247"/>
      <c r="W247" s="247"/>
      <c r="X247" s="247"/>
      <c r="Y247" s="247"/>
      <c r="Z247" s="247"/>
      <c r="AA247" s="247"/>
    </row>
    <row r="248" spans="1:29" ht="12.75">
      <c r="A248" s="312" t="s">
        <v>418</v>
      </c>
      <c r="B248" s="387" t="s">
        <v>469</v>
      </c>
      <c r="C248" s="387" t="s">
        <v>470</v>
      </c>
      <c r="D248" s="389">
        <v>2000</v>
      </c>
      <c r="E248" s="390">
        <v>2001</v>
      </c>
      <c r="F248" s="390">
        <v>2002</v>
      </c>
      <c r="G248" s="390">
        <v>2003</v>
      </c>
      <c r="H248" s="390">
        <v>2004</v>
      </c>
      <c r="I248" s="390">
        <v>2005</v>
      </c>
      <c r="J248" s="390">
        <v>2006</v>
      </c>
      <c r="K248" s="390">
        <v>2007</v>
      </c>
      <c r="L248" s="390">
        <v>2008</v>
      </c>
      <c r="M248" s="390">
        <v>2009</v>
      </c>
      <c r="N248" s="391">
        <v>2010</v>
      </c>
      <c r="O248" s="248">
        <v>2011</v>
      </c>
      <c r="P248" s="248">
        <v>2012</v>
      </c>
      <c r="Q248" s="248">
        <v>2013</v>
      </c>
      <c r="R248" s="248">
        <v>2014</v>
      </c>
      <c r="S248" s="248">
        <v>2015</v>
      </c>
      <c r="T248" s="248">
        <v>2016</v>
      </c>
      <c r="U248" s="248">
        <v>2017</v>
      </c>
      <c r="V248" s="248">
        <v>2018</v>
      </c>
      <c r="W248" s="248">
        <v>2019</v>
      </c>
      <c r="X248" s="248">
        <v>2020</v>
      </c>
      <c r="Y248" s="247"/>
      <c r="Z248" s="247"/>
      <c r="AA248" s="247"/>
    </row>
    <row r="249" spans="1:29" ht="12.75">
      <c r="A249" s="312" t="s">
        <v>419</v>
      </c>
      <c r="B249" s="388">
        <f>NPV(0.1,D249:Y249)</f>
        <v>482382.65803238098</v>
      </c>
      <c r="C249" s="388">
        <f>B249-B239</f>
        <v>-187.50432068284135</v>
      </c>
      <c r="D249" s="392">
        <v>32035.699259999998</v>
      </c>
      <c r="E249" s="393">
        <v>40381.414242799998</v>
      </c>
      <c r="F249" s="393">
        <v>40454.765675084003</v>
      </c>
      <c r="G249" s="393">
        <v>51741.582161122635</v>
      </c>
      <c r="H249" s="393">
        <v>60870.782227374708</v>
      </c>
      <c r="I249" s="393">
        <v>62021.700598154785</v>
      </c>
      <c r="J249" s="393">
        <v>62655.702400737406</v>
      </c>
      <c r="K249" s="393">
        <v>63288.194590786647</v>
      </c>
      <c r="L249" s="393">
        <v>63918.515989928164</v>
      </c>
      <c r="M249" s="393">
        <v>64545.967107736476</v>
      </c>
      <c r="N249" s="394">
        <v>65169.808438072345</v>
      </c>
      <c r="O249" s="252">
        <v>65947.922089388041</v>
      </c>
      <c r="P249" s="252">
        <v>66730.339542038389</v>
      </c>
      <c r="Q249" s="252">
        <v>67516.618721817329</v>
      </c>
      <c r="R249" s="252">
        <v>68306.28715664515</v>
      </c>
      <c r="S249" s="252">
        <v>69098.840550563007</v>
      </c>
      <c r="T249" s="252">
        <v>69525.872563247511</v>
      </c>
      <c r="U249" s="252">
        <v>69932.607350047547</v>
      </c>
      <c r="V249" s="252">
        <v>70317.442748598682</v>
      </c>
      <c r="W249" s="252">
        <v>70678.698734297854</v>
      </c>
      <c r="X249" s="252">
        <v>51702.558851833681</v>
      </c>
      <c r="Y249" s="247"/>
      <c r="Z249" s="247"/>
      <c r="AA249" s="247"/>
    </row>
    <row r="250" spans="1:29" ht="12.75">
      <c r="A250" s="313" t="s">
        <v>420</v>
      </c>
      <c r="B250" s="388">
        <f>NPV(0.1,D250:Y250)</f>
        <v>205617.16122109201</v>
      </c>
      <c r="C250" s="388">
        <f>B250-B240</f>
        <v>-111.27707377402112</v>
      </c>
      <c r="D250" s="392">
        <v>22258.443865572885</v>
      </c>
      <c r="E250" s="393">
        <v>23297.138790329751</v>
      </c>
      <c r="F250" s="393">
        <v>23426.975581252958</v>
      </c>
      <c r="G250" s="393">
        <v>23551.365538726041</v>
      </c>
      <c r="H250" s="393">
        <v>23672.396887156083</v>
      </c>
      <c r="I250" s="393">
        <v>23810.083082117832</v>
      </c>
      <c r="J250" s="393">
        <v>23955.343837910947</v>
      </c>
      <c r="K250" s="393">
        <v>24105.354397324823</v>
      </c>
      <c r="L250" s="393">
        <v>24260.283460599709</v>
      </c>
      <c r="M250" s="393">
        <v>24420.252376719811</v>
      </c>
      <c r="N250" s="394">
        <v>24585.438547402115</v>
      </c>
      <c r="O250" s="252">
        <v>24755.972284151852</v>
      </c>
      <c r="P250" s="252">
        <v>24932.040220082672</v>
      </c>
      <c r="Q250" s="252">
        <v>25113.782175038385</v>
      </c>
      <c r="R250" s="252">
        <v>25301.394575721373</v>
      </c>
      <c r="S250" s="252">
        <v>25498.848519007304</v>
      </c>
      <c r="T250" s="252">
        <v>25706.325002767931</v>
      </c>
      <c r="U250" s="252">
        <v>25920.202174600145</v>
      </c>
      <c r="V250" s="252">
        <v>26140.672055146068</v>
      </c>
      <c r="W250" s="252">
        <v>26367.932425667124</v>
      </c>
      <c r="X250" s="252">
        <v>8677.8023758625604</v>
      </c>
      <c r="Y250" s="247"/>
      <c r="Z250" s="247"/>
      <c r="AA250" s="247"/>
    </row>
    <row r="251" spans="1:29" ht="12.75">
      <c r="A251" s="313" t="s">
        <v>35</v>
      </c>
      <c r="B251" s="388">
        <f>NPV(0.1,D251:Y251)</f>
        <v>95695.427648709912</v>
      </c>
      <c r="C251" s="388">
        <f>B251-B241</f>
        <v>-109.81591519276844</v>
      </c>
      <c r="D251" s="392">
        <v>27.058356162197647</v>
      </c>
      <c r="E251" s="393">
        <v>272.2016899781604</v>
      </c>
      <c r="F251" s="393">
        <v>304.44853978096887</v>
      </c>
      <c r="G251" s="393">
        <v>7114.1416824432999</v>
      </c>
      <c r="H251" s="393">
        <v>12543.892860035108</v>
      </c>
      <c r="I251" s="393">
        <v>13488.085330425038</v>
      </c>
      <c r="J251" s="393">
        <v>14099.007094637673</v>
      </c>
      <c r="K251" s="393">
        <v>14608.918074539853</v>
      </c>
      <c r="L251" s="393">
        <v>15141.241947048369</v>
      </c>
      <c r="M251" s="393">
        <v>15697.483262397707</v>
      </c>
      <c r="N251" s="394">
        <v>16279.232912738111</v>
      </c>
      <c r="O251" s="252">
        <v>16984.044730254423</v>
      </c>
      <c r="P251" s="252">
        <v>17726.743614319017</v>
      </c>
      <c r="Q251" s="252">
        <v>18510.045120500727</v>
      </c>
      <c r="R251" s="252">
        <v>19336.846517099773</v>
      </c>
      <c r="S251" s="252">
        <v>20207.997926577278</v>
      </c>
      <c r="T251" s="252">
        <v>20904.686660616833</v>
      </c>
      <c r="U251" s="252">
        <v>21634.573566339022</v>
      </c>
      <c r="V251" s="252">
        <v>22400.011292967647</v>
      </c>
      <c r="W251" s="252">
        <v>23203.542637988845</v>
      </c>
      <c r="X251" s="252">
        <v>23236.090780930492</v>
      </c>
      <c r="Y251" s="247"/>
      <c r="Z251" s="247"/>
      <c r="AA251" s="247"/>
    </row>
    <row r="252" spans="1:29" ht="12.75">
      <c r="A252" s="313" t="s">
        <v>32</v>
      </c>
      <c r="B252" s="388">
        <f>NPV(0.1,D252:Y252)</f>
        <v>108891.10243220495</v>
      </c>
      <c r="C252" s="388">
        <f>B252-B242</f>
        <v>-1005.7556797646539</v>
      </c>
      <c r="D252" s="395">
        <v>2585.5553988365964</v>
      </c>
      <c r="E252" s="396">
        <v>4156.0785475720868</v>
      </c>
      <c r="F252" s="396">
        <v>4142.3373978262052</v>
      </c>
      <c r="G252" s="396">
        <v>17266.507681217914</v>
      </c>
      <c r="H252" s="396">
        <v>22784.011020883911</v>
      </c>
      <c r="I252" s="396">
        <v>17259.011322091173</v>
      </c>
      <c r="J252" s="396">
        <v>15944.529486260932</v>
      </c>
      <c r="K252" s="396">
        <v>15901.090446828513</v>
      </c>
      <c r="L252" s="396">
        <v>15825.845538818417</v>
      </c>
      <c r="M252" s="396">
        <v>15741.863102423758</v>
      </c>
      <c r="N252" s="397">
        <v>15622.915440149756</v>
      </c>
      <c r="O252" s="252">
        <v>15524.190735622306</v>
      </c>
      <c r="P252" s="252">
        <v>15386.775857473456</v>
      </c>
      <c r="Q252" s="252">
        <v>15233.065894767919</v>
      </c>
      <c r="R252" s="252">
        <v>15036.100903695342</v>
      </c>
      <c r="S252" s="252">
        <v>12997.539613299909</v>
      </c>
      <c r="T252" s="252">
        <v>10847.033541533034</v>
      </c>
      <c r="U252" s="252">
        <v>10471.173331103895</v>
      </c>
      <c r="V252" s="252">
        <v>10053.801011074116</v>
      </c>
      <c r="W252" s="252">
        <v>9592.0454668350903</v>
      </c>
      <c r="X252" s="252">
        <v>25992.238538899248</v>
      </c>
      <c r="Y252" s="247"/>
      <c r="Z252" s="247"/>
      <c r="AA252" s="247"/>
    </row>
    <row r="253" spans="1:29" ht="12.75">
      <c r="A253" s="247"/>
      <c r="B253" s="247"/>
      <c r="C253" s="247"/>
      <c r="D253" s="247"/>
      <c r="E253" s="247"/>
      <c r="F253" s="247"/>
      <c r="G253" s="247"/>
      <c r="H253" s="247"/>
      <c r="I253" s="247"/>
      <c r="J253" s="247"/>
      <c r="K253" s="247"/>
      <c r="L253" s="247"/>
      <c r="M253" s="247"/>
      <c r="N253" s="247"/>
      <c r="O253" s="247"/>
      <c r="P253" s="247"/>
      <c r="Q253" s="247"/>
      <c r="R253" s="247"/>
      <c r="S253" s="247"/>
      <c r="T253" s="247"/>
      <c r="U253" s="247"/>
      <c r="V253" s="247"/>
      <c r="W253" s="247"/>
      <c r="X253" s="247"/>
      <c r="Y253" s="247"/>
      <c r="Z253" s="247"/>
      <c r="AA253" s="247"/>
    </row>
    <row r="254" spans="1:29" ht="12.75">
      <c r="A254" s="292" t="s">
        <v>580</v>
      </c>
      <c r="B254" s="247"/>
      <c r="C254" s="247"/>
      <c r="D254" s="247"/>
      <c r="E254" s="247"/>
      <c r="F254" s="247"/>
      <c r="G254" s="247"/>
      <c r="H254" s="247"/>
      <c r="I254" s="247"/>
      <c r="J254" s="247"/>
      <c r="K254" s="247"/>
      <c r="L254" s="247"/>
      <c r="M254" s="247"/>
      <c r="N254" s="247"/>
      <c r="O254" s="247"/>
      <c r="P254" s="247"/>
      <c r="Q254" s="247"/>
      <c r="R254" s="247"/>
      <c r="S254" s="247"/>
      <c r="T254" s="247"/>
      <c r="U254" s="247"/>
      <c r="V254" s="247"/>
      <c r="W254" s="247"/>
      <c r="X254" s="247"/>
      <c r="Y254" s="247"/>
      <c r="Z254" s="247"/>
      <c r="AA254" s="247"/>
    </row>
    <row r="255" spans="1:29" ht="12.75">
      <c r="A255" s="333">
        <v>36266</v>
      </c>
      <c r="B255" s="247"/>
      <c r="C255" s="247"/>
      <c r="D255" s="247"/>
      <c r="E255" s="247"/>
      <c r="F255" s="247"/>
      <c r="G255" s="247"/>
      <c r="H255" s="247"/>
      <c r="I255" s="247"/>
      <c r="J255" s="247"/>
      <c r="K255" s="247"/>
      <c r="L255" s="247"/>
      <c r="M255" s="247"/>
      <c r="N255" s="247"/>
      <c r="O255" s="247"/>
      <c r="P255" s="247"/>
      <c r="Q255" s="247"/>
      <c r="R255" s="247"/>
      <c r="S255" s="247"/>
      <c r="T255" s="247"/>
      <c r="U255" s="247"/>
      <c r="V255" s="247"/>
      <c r="W255" s="247"/>
      <c r="X255" s="247"/>
      <c r="Y255" s="247"/>
      <c r="Z255" s="247"/>
      <c r="AA255" s="247"/>
    </row>
    <row r="256" spans="1:29" ht="12.75">
      <c r="A256" s="308" t="s">
        <v>416</v>
      </c>
      <c r="B256" s="309">
        <v>71475.302371183876</v>
      </c>
      <c r="C256" s="247"/>
      <c r="D256" s="247"/>
      <c r="E256" s="247"/>
      <c r="F256" s="247"/>
      <c r="G256" s="247"/>
      <c r="H256" s="247"/>
      <c r="I256" s="247"/>
      <c r="J256" s="247"/>
      <c r="K256" s="247"/>
      <c r="L256" s="247"/>
      <c r="M256" s="247"/>
      <c r="N256" s="247"/>
      <c r="O256" s="247"/>
      <c r="P256" s="247"/>
      <c r="Q256" s="247"/>
      <c r="R256" s="247"/>
      <c r="S256" s="247"/>
      <c r="T256" s="247"/>
      <c r="U256" s="247"/>
      <c r="V256" s="247"/>
      <c r="W256" s="247"/>
      <c r="X256" s="247"/>
      <c r="Y256" s="247"/>
      <c r="Z256" s="247"/>
      <c r="AA256" s="247"/>
    </row>
    <row r="257" spans="1:27" ht="12.75">
      <c r="A257" s="310" t="s">
        <v>417</v>
      </c>
      <c r="B257" s="311">
        <v>107633.47291721623</v>
      </c>
      <c r="C257" s="247"/>
      <c r="D257" s="247"/>
      <c r="E257" s="247"/>
      <c r="F257" s="247"/>
      <c r="G257" s="247"/>
      <c r="H257" s="247"/>
      <c r="I257" s="247"/>
      <c r="J257" s="247"/>
      <c r="K257" s="247"/>
      <c r="L257" s="247"/>
      <c r="M257" s="247"/>
      <c r="N257" s="247"/>
      <c r="O257" s="247"/>
      <c r="P257" s="247"/>
      <c r="Q257" s="247"/>
      <c r="R257" s="247"/>
      <c r="S257" s="247"/>
      <c r="T257" s="247"/>
      <c r="U257" s="247"/>
      <c r="V257" s="247"/>
      <c r="W257" s="247"/>
      <c r="X257" s="247"/>
      <c r="Y257" s="247"/>
      <c r="Z257" s="247"/>
      <c r="AA257" s="247"/>
    </row>
    <row r="258" spans="1:27" ht="12.75">
      <c r="A258" s="312" t="s">
        <v>418</v>
      </c>
      <c r="B258" s="387" t="s">
        <v>469</v>
      </c>
      <c r="C258" s="387" t="s">
        <v>470</v>
      </c>
      <c r="D258" s="389">
        <v>2000</v>
      </c>
      <c r="E258" s="390">
        <v>2001</v>
      </c>
      <c r="F258" s="390">
        <v>2002</v>
      </c>
      <c r="G258" s="390">
        <v>2003</v>
      </c>
      <c r="H258" s="390">
        <v>2004</v>
      </c>
      <c r="I258" s="390">
        <v>2005</v>
      </c>
      <c r="J258" s="390">
        <v>2006</v>
      </c>
      <c r="K258" s="390">
        <v>2007</v>
      </c>
      <c r="L258" s="390">
        <v>2008</v>
      </c>
      <c r="M258" s="390">
        <v>2009</v>
      </c>
      <c r="N258" s="391">
        <v>2010</v>
      </c>
      <c r="O258" s="248">
        <v>2011</v>
      </c>
      <c r="P258" s="248">
        <v>2012</v>
      </c>
      <c r="Q258" s="248">
        <v>2013</v>
      </c>
      <c r="R258" s="248">
        <v>2014</v>
      </c>
      <c r="S258" s="248">
        <v>2015</v>
      </c>
      <c r="T258" s="248">
        <v>2016</v>
      </c>
      <c r="U258" s="248">
        <v>2017</v>
      </c>
      <c r="V258" s="248">
        <v>2018</v>
      </c>
      <c r="W258" s="248">
        <v>2019</v>
      </c>
      <c r="X258" s="248">
        <v>2020</v>
      </c>
      <c r="Y258" s="247"/>
      <c r="Z258" s="247"/>
      <c r="AA258" s="247"/>
    </row>
    <row r="259" spans="1:27" ht="12.75">
      <c r="A259" s="312" t="s">
        <v>419</v>
      </c>
      <c r="B259" s="388">
        <f>NPV(0.1,D259:Y259)</f>
        <v>460928.47295377601</v>
      </c>
      <c r="C259" s="388">
        <f>B259-B249</f>
        <v>-21454.185078604962</v>
      </c>
      <c r="D259" s="392">
        <v>32035.699259999998</v>
      </c>
      <c r="E259" s="393">
        <v>40381.414242799998</v>
      </c>
      <c r="F259" s="393">
        <v>40454.765675084003</v>
      </c>
      <c r="G259" s="393">
        <v>50061.13990551982</v>
      </c>
      <c r="H259" s="393">
        <v>57129.554139807798</v>
      </c>
      <c r="I259" s="393">
        <v>57370.967061713833</v>
      </c>
      <c r="J259" s="393">
        <v>58276.040190420426</v>
      </c>
      <c r="K259" s="393">
        <v>59200.053646343891</v>
      </c>
      <c r="L259" s="393">
        <v>60143.329283301377</v>
      </c>
      <c r="M259" s="393">
        <v>61106.19122004461</v>
      </c>
      <c r="N259" s="394">
        <v>62088.965686487456</v>
      </c>
      <c r="O259" s="252">
        <v>62774.654055255603</v>
      </c>
      <c r="P259" s="252">
        <v>63461.873466881982</v>
      </c>
      <c r="Q259" s="252">
        <v>64150.098664406221</v>
      </c>
      <c r="R259" s="252">
        <v>64838.771497511727</v>
      </c>
      <c r="S259" s="252">
        <v>65527.299421655574</v>
      </c>
      <c r="T259" s="252">
        <v>66031.119568611583</v>
      </c>
      <c r="U259" s="252">
        <v>66522.464164755453</v>
      </c>
      <c r="V259" s="252">
        <v>67000.131238906208</v>
      </c>
      <c r="W259" s="252">
        <v>67462.857929607722</v>
      </c>
      <c r="X259" s="252">
        <v>48597.262574804772</v>
      </c>
      <c r="Y259" s="247"/>
      <c r="Z259" s="247"/>
      <c r="AA259" s="247"/>
    </row>
    <row r="260" spans="1:27" ht="12.75">
      <c r="A260" s="313" t="s">
        <v>420</v>
      </c>
      <c r="B260" s="388">
        <f>NPV(0.1,D260:Y260)</f>
        <v>205613.98497983624</v>
      </c>
      <c r="C260" s="388">
        <f>B260-B250</f>
        <v>-3.1762412557727657</v>
      </c>
      <c r="D260" s="392">
        <v>22258.028392768701</v>
      </c>
      <c r="E260" s="393">
        <v>23295.978501409973</v>
      </c>
      <c r="F260" s="393">
        <v>23425.012082189347</v>
      </c>
      <c r="G260" s="393">
        <v>23549.979275908059</v>
      </c>
      <c r="H260" s="393">
        <v>23673.334880102822</v>
      </c>
      <c r="I260" s="393">
        <v>23810.083082117832</v>
      </c>
      <c r="J260" s="393">
        <v>23955.343837910947</v>
      </c>
      <c r="K260" s="393">
        <v>24105.354397324823</v>
      </c>
      <c r="L260" s="393">
        <v>24260.283460599709</v>
      </c>
      <c r="M260" s="393">
        <v>24420.252376719811</v>
      </c>
      <c r="N260" s="394">
        <v>24585.438547402115</v>
      </c>
      <c r="O260" s="252">
        <v>24755.972284151852</v>
      </c>
      <c r="P260" s="252">
        <v>24932.040220082672</v>
      </c>
      <c r="Q260" s="252">
        <v>25113.782175038385</v>
      </c>
      <c r="R260" s="252">
        <v>25301.394575721373</v>
      </c>
      <c r="S260" s="252">
        <v>25498.848519007301</v>
      </c>
      <c r="T260" s="252">
        <v>25706.325002767931</v>
      </c>
      <c r="U260" s="252">
        <v>25920.202174600145</v>
      </c>
      <c r="V260" s="252">
        <v>26140.672055146068</v>
      </c>
      <c r="W260" s="252">
        <v>26367.932425667124</v>
      </c>
      <c r="X260" s="252">
        <v>8677.8023758625623</v>
      </c>
      <c r="Y260" s="247"/>
      <c r="Z260" s="247"/>
      <c r="AA260" s="247"/>
    </row>
    <row r="261" spans="1:27" ht="12.75">
      <c r="A261" s="313" t="s">
        <v>35</v>
      </c>
      <c r="B261" s="388">
        <f>NPV(0.1,D261:Y261)</f>
        <v>86623.179852110916</v>
      </c>
      <c r="C261" s="388">
        <f>B261-B251</f>
        <v>-9072.2477965989965</v>
      </c>
      <c r="D261" s="392">
        <v>319.38249436659487</v>
      </c>
      <c r="E261" s="393">
        <v>796.24977909913264</v>
      </c>
      <c r="F261" s="393">
        <v>869.58231202653724</v>
      </c>
      <c r="G261" s="393">
        <v>6708.0017706467761</v>
      </c>
      <c r="H261" s="393">
        <v>10908.56063961063</v>
      </c>
      <c r="I261" s="393">
        <v>11282.6615098984</v>
      </c>
      <c r="J261" s="393">
        <v>12016.735762039505</v>
      </c>
      <c r="K261" s="393">
        <v>12664.078361689481</v>
      </c>
      <c r="L261" s="393">
        <v>13349.251304523545</v>
      </c>
      <c r="M261" s="393">
        <v>14074.984300088554</v>
      </c>
      <c r="N261" s="394">
        <v>14844.186937759183</v>
      </c>
      <c r="O261" s="252">
        <v>15468.41549000224</v>
      </c>
      <c r="P261" s="252">
        <v>16125.111059953475</v>
      </c>
      <c r="Q261" s="252">
        <v>16816.586397645951</v>
      </c>
      <c r="R261" s="252">
        <v>17545.304665352443</v>
      </c>
      <c r="S261" s="252">
        <v>18311.648102694053</v>
      </c>
      <c r="T261" s="252">
        <v>19007.364720140675</v>
      </c>
      <c r="U261" s="252">
        <v>19738.680767901926</v>
      </c>
      <c r="V261" s="252">
        <v>20508.154075287293</v>
      </c>
      <c r="W261" s="252">
        <v>21318.547587914087</v>
      </c>
      <c r="X261" s="252">
        <v>21361.020700377208</v>
      </c>
      <c r="Y261" s="247"/>
      <c r="Z261" s="247"/>
      <c r="AA261" s="247"/>
    </row>
    <row r="262" spans="1:27" ht="12.75">
      <c r="A262" s="313" t="s">
        <v>32</v>
      </c>
      <c r="B262" s="388">
        <f>NPV(0.1,D262:Y262)</f>
        <v>101861.04571400773</v>
      </c>
      <c r="C262" s="388">
        <f>B262-B252</f>
        <v>-7030.0567181972146</v>
      </c>
      <c r="D262" s="395">
        <v>2585.656470586076</v>
      </c>
      <c r="E262" s="396">
        <v>4156.3608101650716</v>
      </c>
      <c r="F262" s="396">
        <v>4142.8150567330285</v>
      </c>
      <c r="G262" s="396">
        <v>16238.085885637203</v>
      </c>
      <c r="H262" s="396">
        <v>20491.934296569296</v>
      </c>
      <c r="I262" s="396">
        <v>16349.72526384599</v>
      </c>
      <c r="J262" s="396">
        <v>14671.262033869052</v>
      </c>
      <c r="K262" s="396">
        <v>14713.366418251244</v>
      </c>
      <c r="L262" s="396">
        <v>14726.358140182147</v>
      </c>
      <c r="M262" s="396">
        <v>14733.10331594028</v>
      </c>
      <c r="N262" s="397">
        <v>14707.134520619766</v>
      </c>
      <c r="O262" s="252">
        <v>14606.337868273995</v>
      </c>
      <c r="P262" s="252">
        <v>14468.821002253686</v>
      </c>
      <c r="Q262" s="252">
        <v>14317.200679892456</v>
      </c>
      <c r="R262" s="252">
        <v>14124.758281254599</v>
      </c>
      <c r="S262" s="252">
        <v>12093.415144977398</v>
      </c>
      <c r="T262" s="252">
        <v>9990.5997313538446</v>
      </c>
      <c r="U262" s="252">
        <v>9665.5957896499822</v>
      </c>
      <c r="V262" s="252">
        <v>9302.3516006957689</v>
      </c>
      <c r="W262" s="252">
        <v>8898.1025666455535</v>
      </c>
      <c r="X262" s="252">
        <v>24117.168458345965</v>
      </c>
      <c r="Y262" s="247"/>
      <c r="Z262" s="247"/>
      <c r="AA262" s="247"/>
    </row>
    <row r="263" spans="1:27" ht="12.75">
      <c r="A263" s="247"/>
      <c r="B263" s="247"/>
      <c r="C263" s="247"/>
      <c r="D263" s="247"/>
      <c r="E263" s="247"/>
      <c r="F263" s="247"/>
      <c r="G263" s="247"/>
      <c r="H263" s="247"/>
      <c r="I263" s="247"/>
      <c r="J263" s="247"/>
      <c r="K263" s="247"/>
      <c r="L263" s="247"/>
      <c r="M263" s="247"/>
      <c r="N263" s="247"/>
      <c r="O263" s="247"/>
      <c r="P263" s="247"/>
      <c r="Q263" s="247"/>
      <c r="R263" s="247"/>
      <c r="S263" s="247"/>
      <c r="T263" s="247"/>
      <c r="U263" s="247"/>
      <c r="V263" s="247"/>
      <c r="W263" s="247"/>
      <c r="X263" s="247"/>
      <c r="Y263" s="247"/>
      <c r="Z263" s="247"/>
      <c r="AA263" s="247"/>
    </row>
    <row r="264" spans="1:27" ht="12.75">
      <c r="A264" s="292" t="s">
        <v>581</v>
      </c>
      <c r="B264" s="247"/>
      <c r="C264" s="247"/>
      <c r="D264" s="247"/>
      <c r="E264" s="247"/>
      <c r="F264" s="247"/>
      <c r="G264" s="247"/>
      <c r="H264" s="247"/>
      <c r="I264" s="247"/>
      <c r="J264" s="247"/>
      <c r="K264" s="247"/>
      <c r="L264" s="247"/>
      <c r="M264" s="247"/>
      <c r="N264" s="247"/>
      <c r="O264" s="247"/>
      <c r="P264" s="247"/>
      <c r="Q264" s="247"/>
      <c r="R264" s="247"/>
      <c r="S264" s="247"/>
      <c r="T264" s="247"/>
      <c r="U264" s="247"/>
      <c r="V264" s="247"/>
      <c r="W264" s="247"/>
      <c r="X264" s="247"/>
      <c r="Y264" s="247"/>
      <c r="Z264" s="247"/>
      <c r="AA264" s="247"/>
    </row>
    <row r="265" spans="1:27" ht="12.75">
      <c r="A265" s="333">
        <v>36266</v>
      </c>
      <c r="B265" s="247"/>
      <c r="C265" s="247"/>
      <c r="D265" s="247"/>
      <c r="E265" s="247"/>
      <c r="F265" s="247"/>
      <c r="G265" s="247"/>
      <c r="H265" s="247"/>
      <c r="I265" s="247"/>
      <c r="J265" s="247"/>
      <c r="K265" s="247"/>
      <c r="L265" s="247"/>
      <c r="M265" s="247"/>
      <c r="N265" s="247"/>
      <c r="O265" s="247"/>
      <c r="P265" s="247"/>
      <c r="Q265" s="247"/>
      <c r="R265" s="247"/>
      <c r="S265" s="247"/>
      <c r="T265" s="247"/>
      <c r="U265" s="247"/>
      <c r="V265" s="247"/>
      <c r="W265" s="247"/>
      <c r="X265" s="247"/>
      <c r="Y265" s="247"/>
      <c r="Z265" s="247"/>
      <c r="AA265" s="247"/>
    </row>
    <row r="266" spans="1:27" ht="12.75">
      <c r="A266" s="308" t="s">
        <v>416</v>
      </c>
      <c r="B266" s="309">
        <v>71475.302371183861</v>
      </c>
      <c r="C266" s="247"/>
      <c r="D266" s="247"/>
      <c r="E266" s="247"/>
      <c r="F266" s="247"/>
      <c r="G266" s="247"/>
      <c r="H266" s="247"/>
      <c r="I266" s="247"/>
      <c r="J266" s="247"/>
      <c r="K266" s="247"/>
      <c r="L266" s="247"/>
      <c r="M266" s="247"/>
      <c r="N266" s="247"/>
      <c r="O266" s="247"/>
      <c r="P266" s="247"/>
      <c r="Q266" s="247"/>
      <c r="R266" s="247"/>
      <c r="S266" s="247"/>
      <c r="T266" s="247"/>
      <c r="U266" s="247"/>
      <c r="V266" s="247"/>
      <c r="W266" s="247"/>
      <c r="X266" s="247"/>
      <c r="Y266" s="247"/>
      <c r="Z266" s="247"/>
      <c r="AA266" s="247"/>
    </row>
    <row r="267" spans="1:27" ht="12.75">
      <c r="A267" s="310" t="s">
        <v>417</v>
      </c>
      <c r="B267" s="311">
        <v>107633.47291721623</v>
      </c>
      <c r="C267" s="247"/>
      <c r="D267" s="247"/>
      <c r="E267" s="247"/>
      <c r="F267" s="247"/>
      <c r="G267" s="247"/>
      <c r="H267" s="247"/>
      <c r="I267" s="247"/>
      <c r="J267" s="247"/>
      <c r="K267" s="247"/>
      <c r="L267" s="247"/>
      <c r="M267" s="247"/>
      <c r="N267" s="247"/>
      <c r="O267" s="247"/>
      <c r="P267" s="247"/>
      <c r="Q267" s="247"/>
      <c r="R267" s="247"/>
      <c r="S267" s="247"/>
      <c r="T267" s="247"/>
      <c r="U267" s="247"/>
      <c r="V267" s="247"/>
      <c r="W267" s="247"/>
      <c r="X267" s="247"/>
      <c r="Y267" s="247"/>
      <c r="Z267" s="247"/>
      <c r="AA267" s="247"/>
    </row>
    <row r="268" spans="1:27" ht="12.75">
      <c r="A268" s="312" t="s">
        <v>418</v>
      </c>
      <c r="B268" s="387" t="s">
        <v>469</v>
      </c>
      <c r="C268" s="387" t="s">
        <v>470</v>
      </c>
      <c r="D268" s="389">
        <v>2000</v>
      </c>
      <c r="E268" s="390">
        <v>2001</v>
      </c>
      <c r="F268" s="390">
        <v>2002</v>
      </c>
      <c r="G268" s="390">
        <v>2003</v>
      </c>
      <c r="H268" s="390">
        <v>2004</v>
      </c>
      <c r="I268" s="390">
        <v>2005</v>
      </c>
      <c r="J268" s="390">
        <v>2006</v>
      </c>
      <c r="K268" s="390">
        <v>2007</v>
      </c>
      <c r="L268" s="390">
        <v>2008</v>
      </c>
      <c r="M268" s="390">
        <v>2009</v>
      </c>
      <c r="N268" s="391">
        <v>2010</v>
      </c>
      <c r="O268" s="248">
        <v>2011</v>
      </c>
      <c r="P268" s="248">
        <v>2012</v>
      </c>
      <c r="Q268" s="248">
        <v>2013</v>
      </c>
      <c r="R268" s="248">
        <v>2014</v>
      </c>
      <c r="S268" s="248">
        <v>2015</v>
      </c>
      <c r="T268" s="248">
        <v>2016</v>
      </c>
      <c r="U268" s="248">
        <v>2017</v>
      </c>
      <c r="V268" s="248">
        <v>2018</v>
      </c>
      <c r="W268" s="248">
        <v>2019</v>
      </c>
      <c r="X268" s="248">
        <v>2020</v>
      </c>
      <c r="Y268" s="247"/>
      <c r="Z268" s="247"/>
      <c r="AA268" s="247"/>
    </row>
    <row r="269" spans="1:27" ht="12.75">
      <c r="A269" s="312" t="s">
        <v>419</v>
      </c>
      <c r="B269" s="388">
        <f>NPV(0.1,D269:Y269)</f>
        <v>460990.34268568864</v>
      </c>
      <c r="C269" s="388">
        <f>B269-B259</f>
        <v>61.869731912622228</v>
      </c>
      <c r="D269" s="392">
        <v>32042.852909999998</v>
      </c>
      <c r="E269" s="393">
        <v>40388.567892799998</v>
      </c>
      <c r="F269" s="393">
        <v>40461.919325084004</v>
      </c>
      <c r="G269" s="393">
        <v>50068.29355551982</v>
      </c>
      <c r="H269" s="393">
        <v>57136.707789807799</v>
      </c>
      <c r="I269" s="393">
        <v>57378.120711713833</v>
      </c>
      <c r="J269" s="393">
        <v>58283.193840420427</v>
      </c>
      <c r="K269" s="393">
        <v>59207.207296343891</v>
      </c>
      <c r="L269" s="393">
        <v>60150.482933301377</v>
      </c>
      <c r="M269" s="393">
        <v>61113.34487004461</v>
      </c>
      <c r="N269" s="394">
        <v>62096.119336487456</v>
      </c>
      <c r="O269" s="252">
        <v>62781.807705255604</v>
      </c>
      <c r="P269" s="252">
        <v>63469.027116881982</v>
      </c>
      <c r="Q269" s="252">
        <v>64157.252314406222</v>
      </c>
      <c r="R269" s="252">
        <v>64845.925147511727</v>
      </c>
      <c r="S269" s="252">
        <v>65534.453071655575</v>
      </c>
      <c r="T269" s="252">
        <v>66038.273218611575</v>
      </c>
      <c r="U269" s="252">
        <v>66529.617814755446</v>
      </c>
      <c r="V269" s="252">
        <v>67007.284888906215</v>
      </c>
      <c r="W269" s="252">
        <v>67470.011579607715</v>
      </c>
      <c r="X269" s="252">
        <v>48604.416224804772</v>
      </c>
      <c r="Y269" s="247"/>
      <c r="Z269" s="247"/>
      <c r="AA269" s="247"/>
    </row>
    <row r="270" spans="1:27" ht="12.75">
      <c r="A270" s="313" t="s">
        <v>420</v>
      </c>
      <c r="B270" s="388">
        <f>NPV(0.1,D270:Y270)</f>
        <v>205675.85471174881</v>
      </c>
      <c r="C270" s="388">
        <f>B270-B260</f>
        <v>61.869731912564021</v>
      </c>
      <c r="D270" s="392">
        <v>22265.182042768702</v>
      </c>
      <c r="E270" s="393">
        <v>23303.132151409973</v>
      </c>
      <c r="F270" s="393">
        <v>23432.165732189347</v>
      </c>
      <c r="G270" s="393">
        <v>23557.132925908059</v>
      </c>
      <c r="H270" s="393">
        <v>23680.488530102823</v>
      </c>
      <c r="I270" s="393">
        <v>23817.236732117832</v>
      </c>
      <c r="J270" s="393">
        <v>23962.497487910943</v>
      </c>
      <c r="K270" s="393">
        <v>24112.508047324824</v>
      </c>
      <c r="L270" s="393">
        <v>24267.437110599709</v>
      </c>
      <c r="M270" s="393">
        <v>24427.406026719811</v>
      </c>
      <c r="N270" s="394">
        <v>24592.592197402115</v>
      </c>
      <c r="O270" s="252">
        <v>24763.125934151849</v>
      </c>
      <c r="P270" s="252">
        <v>24939.193870082672</v>
      </c>
      <c r="Q270" s="252">
        <v>25120.935825038385</v>
      </c>
      <c r="R270" s="252">
        <v>25308.548225721373</v>
      </c>
      <c r="S270" s="252">
        <v>25506.002169007301</v>
      </c>
      <c r="T270" s="252">
        <v>25713.478652767932</v>
      </c>
      <c r="U270" s="252">
        <v>25927.355824600145</v>
      </c>
      <c r="V270" s="252">
        <v>26147.825705146068</v>
      </c>
      <c r="W270" s="252">
        <v>26375.086075667125</v>
      </c>
      <c r="X270" s="252">
        <v>8684.9560258625625</v>
      </c>
      <c r="Y270" s="247"/>
      <c r="Z270" s="247"/>
      <c r="AA270" s="247"/>
    </row>
    <row r="271" spans="1:27" ht="12.75">
      <c r="A271" s="313" t="s">
        <v>35</v>
      </c>
      <c r="B271" s="388">
        <f>NPV(0.1,D271:Y271)</f>
        <v>86623.17985211093</v>
      </c>
      <c r="C271" s="388">
        <f>B271-B261</f>
        <v>0</v>
      </c>
      <c r="D271" s="392">
        <v>319.38249436659487</v>
      </c>
      <c r="E271" s="393">
        <v>796.24977909913264</v>
      </c>
      <c r="F271" s="393">
        <v>869.58231202653724</v>
      </c>
      <c r="G271" s="393">
        <v>6708.0017706467761</v>
      </c>
      <c r="H271" s="393">
        <v>10908.56063961063</v>
      </c>
      <c r="I271" s="393">
        <v>11282.6615098984</v>
      </c>
      <c r="J271" s="393">
        <v>12016.735762039509</v>
      </c>
      <c r="K271" s="393">
        <v>12664.078361689481</v>
      </c>
      <c r="L271" s="393">
        <v>13349.251304523545</v>
      </c>
      <c r="M271" s="393">
        <v>14074.984300088554</v>
      </c>
      <c r="N271" s="394">
        <v>14844.186937759185</v>
      </c>
      <c r="O271" s="252">
        <v>15468.415490002244</v>
      </c>
      <c r="P271" s="252">
        <v>16125.111059953475</v>
      </c>
      <c r="Q271" s="252">
        <v>16816.586397645955</v>
      </c>
      <c r="R271" s="252">
        <v>17545.304665352443</v>
      </c>
      <c r="S271" s="252">
        <v>18311.648102694053</v>
      </c>
      <c r="T271" s="252">
        <v>19007.364720140671</v>
      </c>
      <c r="U271" s="252">
        <v>19738.680767901915</v>
      </c>
      <c r="V271" s="252">
        <v>20508.154075287297</v>
      </c>
      <c r="W271" s="252">
        <v>21318.547587914079</v>
      </c>
      <c r="X271" s="252">
        <v>21361.020700377208</v>
      </c>
      <c r="Y271" s="247"/>
      <c r="Z271" s="247"/>
      <c r="AA271" s="247"/>
    </row>
    <row r="272" spans="1:27" ht="12.75">
      <c r="A272" s="313" t="s">
        <v>32</v>
      </c>
      <c r="B272" s="388">
        <f>NPV(0.1,D272:Y272)</f>
        <v>101861.04571400773</v>
      </c>
      <c r="C272" s="388">
        <f>B272-B262</f>
        <v>0</v>
      </c>
      <c r="D272" s="395">
        <v>2585.656470586076</v>
      </c>
      <c r="E272" s="396">
        <v>4156.3608101650716</v>
      </c>
      <c r="F272" s="396">
        <v>4142.8150567330285</v>
      </c>
      <c r="G272" s="396">
        <v>16238.085885637203</v>
      </c>
      <c r="H272" s="396">
        <v>20491.934296569296</v>
      </c>
      <c r="I272" s="396">
        <v>16349.72526384599</v>
      </c>
      <c r="J272" s="396">
        <v>14671.262033869054</v>
      </c>
      <c r="K272" s="396">
        <v>14713.366418251244</v>
      </c>
      <c r="L272" s="396">
        <v>14726.358140182147</v>
      </c>
      <c r="M272" s="396">
        <v>14733.10331594028</v>
      </c>
      <c r="N272" s="397">
        <v>14707.134520619764</v>
      </c>
      <c r="O272" s="252">
        <v>14606.337868273991</v>
      </c>
      <c r="P272" s="252">
        <v>14468.821002253686</v>
      </c>
      <c r="Q272" s="252">
        <v>14317.200679892459</v>
      </c>
      <c r="R272" s="252">
        <v>14124.758281254599</v>
      </c>
      <c r="S272" s="252">
        <v>12093.415144977398</v>
      </c>
      <c r="T272" s="252">
        <v>9990.5997313538428</v>
      </c>
      <c r="U272" s="252">
        <v>9665.5957896499804</v>
      </c>
      <c r="V272" s="252">
        <v>9302.3516006957689</v>
      </c>
      <c r="W272" s="252">
        <v>8898.102566645548</v>
      </c>
      <c r="X272" s="252">
        <v>24117.168458345965</v>
      </c>
    </row>
    <row r="273" spans="1:24" ht="12.75">
      <c r="A273" s="247"/>
      <c r="B273" s="247"/>
      <c r="C273" s="247"/>
      <c r="D273" s="247"/>
      <c r="E273" s="247"/>
      <c r="F273" s="247"/>
      <c r="G273" s="247"/>
    </row>
    <row r="274" spans="1:24" ht="12.75">
      <c r="A274" s="292" t="s">
        <v>584</v>
      </c>
      <c r="B274" s="247"/>
      <c r="C274" s="247"/>
      <c r="D274" s="247"/>
      <c r="E274" s="247"/>
      <c r="F274" s="247"/>
      <c r="G274" s="247"/>
    </row>
    <row r="275" spans="1:24" ht="12.75">
      <c r="A275" s="333">
        <v>36268</v>
      </c>
      <c r="B275" s="247"/>
      <c r="C275" s="247"/>
      <c r="D275" s="247"/>
      <c r="E275" s="247"/>
      <c r="F275" s="247"/>
      <c r="G275" s="247"/>
    </row>
    <row r="276" spans="1:24" ht="12.75">
      <c r="A276" s="308" t="s">
        <v>416</v>
      </c>
      <c r="B276" s="309">
        <v>71388.204478478539</v>
      </c>
      <c r="C276" s="247"/>
      <c r="D276" s="247"/>
      <c r="E276" s="247"/>
      <c r="F276" s="247"/>
      <c r="G276" s="247"/>
      <c r="H276" s="247"/>
      <c r="I276" s="247"/>
      <c r="J276" s="247"/>
      <c r="K276" s="247"/>
      <c r="L276" s="247"/>
      <c r="M276" s="247"/>
      <c r="N276" s="247"/>
      <c r="O276" s="247"/>
      <c r="P276" s="247"/>
      <c r="Q276" s="247"/>
      <c r="R276" s="247"/>
      <c r="S276" s="247"/>
      <c r="T276" s="247"/>
      <c r="U276" s="247"/>
      <c r="V276" s="247"/>
      <c r="W276" s="247"/>
      <c r="X276" s="247"/>
    </row>
    <row r="277" spans="1:24" ht="12.75">
      <c r="A277" s="310" t="s">
        <v>417</v>
      </c>
      <c r="B277" s="311">
        <v>107519.76259391234</v>
      </c>
      <c r="C277" s="247"/>
      <c r="D277" s="247"/>
      <c r="E277" s="247"/>
      <c r="F277" s="247"/>
      <c r="G277" s="247"/>
      <c r="H277" s="247"/>
      <c r="I277" s="247"/>
      <c r="J277" s="247"/>
      <c r="K277" s="247"/>
      <c r="L277" s="247"/>
      <c r="M277" s="247"/>
      <c r="N277" s="247"/>
      <c r="O277" s="247"/>
      <c r="P277" s="247"/>
      <c r="Q277" s="247"/>
      <c r="R277" s="247"/>
      <c r="S277" s="247"/>
      <c r="T277" s="247"/>
      <c r="U277" s="247"/>
      <c r="V277" s="247"/>
      <c r="W277" s="247"/>
      <c r="X277" s="247"/>
    </row>
    <row r="278" spans="1:24" ht="12.75">
      <c r="A278" s="312" t="s">
        <v>418</v>
      </c>
      <c r="B278" s="387" t="s">
        <v>469</v>
      </c>
      <c r="C278" s="387" t="s">
        <v>470</v>
      </c>
      <c r="D278" s="389">
        <v>2000</v>
      </c>
      <c r="E278" s="390">
        <v>2001</v>
      </c>
      <c r="F278" s="390">
        <v>2002</v>
      </c>
      <c r="G278" s="390">
        <v>2003</v>
      </c>
      <c r="H278" s="390">
        <v>2004</v>
      </c>
      <c r="I278" s="390">
        <v>2005</v>
      </c>
      <c r="J278" s="390">
        <v>2006</v>
      </c>
      <c r="K278" s="390">
        <v>2007</v>
      </c>
      <c r="L278" s="390">
        <v>2008</v>
      </c>
      <c r="M278" s="390">
        <v>2009</v>
      </c>
      <c r="N278" s="391">
        <v>2010</v>
      </c>
      <c r="O278" s="248">
        <v>2011</v>
      </c>
      <c r="P278" s="248">
        <v>2012</v>
      </c>
      <c r="Q278" s="248">
        <v>2013</v>
      </c>
      <c r="R278" s="248">
        <v>2014</v>
      </c>
      <c r="S278" s="248">
        <v>2015</v>
      </c>
      <c r="T278" s="248">
        <v>2016</v>
      </c>
      <c r="U278" s="248">
        <v>2017</v>
      </c>
      <c r="V278" s="248">
        <v>2018</v>
      </c>
      <c r="W278" s="248">
        <v>2019</v>
      </c>
      <c r="X278" s="248">
        <v>2020</v>
      </c>
    </row>
    <row r="279" spans="1:24" ht="12.75">
      <c r="A279" s="312" t="s">
        <v>419</v>
      </c>
      <c r="B279" s="388">
        <f>NPV(0.1,D279:Y279)</f>
        <v>460819.59100601985</v>
      </c>
      <c r="C279" s="388">
        <f>B279-B269</f>
        <v>-170.75167966878507</v>
      </c>
      <c r="D279" s="392">
        <v>32031.250299999996</v>
      </c>
      <c r="E279" s="393">
        <v>40373.714911999996</v>
      </c>
      <c r="F279" s="393">
        <v>40447.06596236</v>
      </c>
      <c r="G279" s="393">
        <v>50049.696349981576</v>
      </c>
      <c r="H279" s="393">
        <v>57115.364462000849</v>
      </c>
      <c r="I279" s="393">
        <v>57356.713628064157</v>
      </c>
      <c r="J279" s="393">
        <v>58261.463265071616</v>
      </c>
      <c r="K279" s="393">
        <v>59185.146749944259</v>
      </c>
      <c r="L279" s="393">
        <v>60128.08583888071</v>
      </c>
      <c r="M279" s="393">
        <v>61090.604552988392</v>
      </c>
      <c r="N279" s="394">
        <v>62073.029024597548</v>
      </c>
      <c r="O279" s="252">
        <v>62758.485166295643</v>
      </c>
      <c r="P279" s="252">
        <v>63445.472862283481</v>
      </c>
      <c r="Q279" s="252">
        <v>64133.467095290929</v>
      </c>
      <c r="R279" s="252">
        <v>64821.909968612774</v>
      </c>
      <c r="S279" s="252">
        <v>65510.209205858147</v>
      </c>
      <c r="T279" s="252">
        <v>66013.874466587164</v>
      </c>
      <c r="U279" s="252">
        <v>66505.070366584638</v>
      </c>
      <c r="V279" s="252">
        <v>66982.595445472049</v>
      </c>
      <c r="W279" s="252">
        <v>67445.187377672773</v>
      </c>
      <c r="X279" s="252">
        <v>48586.527636667917</v>
      </c>
    </row>
    <row r="280" spans="1:24" ht="12.75">
      <c r="A280" s="313" t="s">
        <v>420</v>
      </c>
      <c r="B280" s="388">
        <f>NPV(0.1,D280:Y280)</f>
        <v>205615.08198916333</v>
      </c>
      <c r="C280" s="388">
        <f>B280-B270</f>
        <v>-60.772722585476004</v>
      </c>
      <c r="D280" s="392">
        <v>22258.089388889599</v>
      </c>
      <c r="E280" s="393">
        <v>23296.009968348535</v>
      </c>
      <c r="F280" s="393">
        <v>23425.0437294373</v>
      </c>
      <c r="G280" s="393">
        <v>23550.014332573122</v>
      </c>
      <c r="H280" s="393">
        <v>23673.375636933055</v>
      </c>
      <c r="I280" s="393">
        <v>23810.099520113352</v>
      </c>
      <c r="J280" s="393">
        <v>23955.357367046327</v>
      </c>
      <c r="K280" s="393">
        <v>24105.364930334268</v>
      </c>
      <c r="L280" s="393">
        <v>24260.290907599439</v>
      </c>
      <c r="M280" s="393">
        <v>24420.256645129532</v>
      </c>
      <c r="N280" s="394">
        <v>24585.439541864125</v>
      </c>
      <c r="O280" s="252">
        <v>24755.969906447721</v>
      </c>
      <c r="P280" s="252">
        <v>24932.034369047422</v>
      </c>
      <c r="Q280" s="252">
        <v>25113.772746472081</v>
      </c>
      <c r="R280" s="252">
        <v>25301.381462298075</v>
      </c>
      <c r="S280" s="252">
        <v>25498.831610181307</v>
      </c>
      <c r="T280" s="252">
        <v>25706.304184677156</v>
      </c>
      <c r="U280" s="252">
        <v>25920.177329966638</v>
      </c>
      <c r="V280" s="252">
        <v>26140.643063173564</v>
      </c>
      <c r="W280" s="252">
        <v>26367.899161935442</v>
      </c>
      <c r="X280" s="252">
        <v>8684.8049622189337</v>
      </c>
    </row>
    <row r="281" spans="1:24" ht="12.75">
      <c r="A281" s="313" t="s">
        <v>35</v>
      </c>
      <c r="B281" s="388">
        <f>NPV(0.1,D281:Y281)</f>
        <v>86575.404813512927</v>
      </c>
      <c r="C281" s="388">
        <f>B281-B271</f>
        <v>-47.775038598003448</v>
      </c>
      <c r="D281" s="392">
        <v>318.3015754307209</v>
      </c>
      <c r="E281" s="393">
        <v>794.3640479706919</v>
      </c>
      <c r="F281" s="393">
        <v>867.63701982573139</v>
      </c>
      <c r="G281" s="393">
        <v>6703.7299450614419</v>
      </c>
      <c r="H281" s="393">
        <v>10902.620868208449</v>
      </c>
      <c r="I281" s="393">
        <v>11276.638590645203</v>
      </c>
      <c r="J281" s="393">
        <v>12010.45443135098</v>
      </c>
      <c r="K281" s="393">
        <v>12657.523455111517</v>
      </c>
      <c r="L281" s="393">
        <v>13342.406573873484</v>
      </c>
      <c r="M281" s="393">
        <v>14067.832329564902</v>
      </c>
      <c r="N281" s="394">
        <v>14836.709053392196</v>
      </c>
      <c r="O281" s="252">
        <v>15460.66692167132</v>
      </c>
      <c r="P281" s="252">
        <v>16117.077210529273</v>
      </c>
      <c r="Q281" s="252">
        <v>16808.251630891937</v>
      </c>
      <c r="R281" s="252">
        <v>17536.652224164278</v>
      </c>
      <c r="S281" s="252">
        <v>18302.660020764397</v>
      </c>
      <c r="T281" s="252">
        <v>18998.065349863547</v>
      </c>
      <c r="U281" s="252">
        <v>19729.053426685263</v>
      </c>
      <c r="V281" s="252">
        <v>20498.180872177851</v>
      </c>
      <c r="W281" s="252">
        <v>21308.209327104836</v>
      </c>
      <c r="X281" s="252">
        <v>21350.310256505443</v>
      </c>
    </row>
    <row r="282" spans="1:24" ht="12.75">
      <c r="A282" s="313" t="s">
        <v>32</v>
      </c>
      <c r="B282" s="388">
        <f>NPV(0.1,D282:Y282)</f>
        <v>101829.674414426</v>
      </c>
      <c r="C282" s="388">
        <f>B282-B272</f>
        <v>-31.371299581733183</v>
      </c>
      <c r="D282" s="395">
        <v>2584.5593370297411</v>
      </c>
      <c r="E282" s="396">
        <v>4154.4801449459819</v>
      </c>
      <c r="F282" s="396">
        <v>4140.9342547398519</v>
      </c>
      <c r="G282" s="396">
        <v>16231.055235662678</v>
      </c>
      <c r="H282" s="396">
        <v>20483.218155354014</v>
      </c>
      <c r="I282" s="396">
        <v>16355.296833846736</v>
      </c>
      <c r="J282" s="396">
        <v>14666.576568255443</v>
      </c>
      <c r="K282" s="396">
        <v>14708.665835924148</v>
      </c>
      <c r="L282" s="396">
        <v>14721.649464527554</v>
      </c>
      <c r="M282" s="396">
        <v>14728.394302429941</v>
      </c>
      <c r="N282" s="397">
        <v>14702.433718181557</v>
      </c>
      <c r="O282" s="252">
        <v>14601.680090387716</v>
      </c>
      <c r="P282" s="252">
        <v>14464.216503432666</v>
      </c>
      <c r="Q282" s="252">
        <v>14312.660566584176</v>
      </c>
      <c r="R282" s="252">
        <v>14120.294575758489</v>
      </c>
      <c r="S282" s="252">
        <v>12089.040854193481</v>
      </c>
      <c r="T282" s="252">
        <v>9986.3436462989976</v>
      </c>
      <c r="U282" s="252">
        <v>9661.4730643148578</v>
      </c>
      <c r="V282" s="252">
        <v>9298.3785219081165</v>
      </c>
      <c r="W282" s="252">
        <v>8894.2966348004829</v>
      </c>
      <c r="X282" s="252">
        <v>24106.458014474192</v>
      </c>
    </row>
    <row r="283" spans="1:24" ht="12.75">
      <c r="A283" s="247"/>
      <c r="B283" s="247"/>
      <c r="C283" s="247"/>
      <c r="D283" s="247"/>
      <c r="E283" s="247"/>
      <c r="F283" s="247"/>
      <c r="G283" s="247"/>
    </row>
    <row r="284" spans="1:24" ht="12.75">
      <c r="A284" s="292" t="s">
        <v>585</v>
      </c>
      <c r="B284" s="247"/>
      <c r="C284" s="247"/>
      <c r="D284" s="247"/>
      <c r="E284" s="247"/>
      <c r="F284" s="247"/>
      <c r="G284" s="247"/>
    </row>
    <row r="285" spans="1:24" ht="12.75">
      <c r="A285" s="333">
        <v>36268</v>
      </c>
      <c r="B285" s="247"/>
      <c r="C285" s="247"/>
      <c r="D285" s="247"/>
      <c r="E285" s="247"/>
      <c r="F285" s="247"/>
      <c r="G285" s="247"/>
    </row>
    <row r="286" spans="1:24" ht="12.75">
      <c r="A286" s="308" t="s">
        <v>416</v>
      </c>
      <c r="B286" s="309">
        <v>80645.108747825245</v>
      </c>
      <c r="C286" s="247"/>
      <c r="D286" s="247"/>
      <c r="E286" s="247"/>
      <c r="F286" s="247"/>
      <c r="G286" s="247"/>
      <c r="H286" s="247"/>
      <c r="I286" s="247"/>
      <c r="J286" s="247"/>
      <c r="K286" s="247"/>
      <c r="L286" s="247"/>
      <c r="M286" s="247"/>
      <c r="N286" s="247"/>
      <c r="O286" s="247"/>
      <c r="P286" s="247"/>
      <c r="Q286" s="247"/>
      <c r="R286" s="247"/>
      <c r="S286" s="247"/>
      <c r="T286" s="247"/>
      <c r="U286" s="247"/>
      <c r="V286" s="247"/>
      <c r="W286" s="247"/>
      <c r="X286" s="247"/>
    </row>
    <row r="287" spans="1:24" ht="12.75">
      <c r="A287" s="310" t="s">
        <v>417</v>
      </c>
      <c r="B287" s="311">
        <v>119863.39285255529</v>
      </c>
      <c r="C287" s="247"/>
      <c r="D287" s="247"/>
      <c r="E287" s="247"/>
      <c r="F287" s="247"/>
      <c r="G287" s="247"/>
      <c r="H287" s="247"/>
      <c r="I287" s="247"/>
      <c r="J287" s="247"/>
      <c r="K287" s="247"/>
      <c r="L287" s="247"/>
      <c r="M287" s="247"/>
      <c r="N287" s="247"/>
      <c r="O287" s="247"/>
      <c r="P287" s="247"/>
      <c r="Q287" s="247"/>
      <c r="R287" s="247"/>
      <c r="S287" s="247"/>
      <c r="T287" s="247"/>
      <c r="U287" s="247"/>
      <c r="V287" s="247"/>
      <c r="W287" s="247"/>
      <c r="X287" s="247"/>
    </row>
    <row r="288" spans="1:24" ht="12.75">
      <c r="A288" s="312" t="s">
        <v>418</v>
      </c>
      <c r="B288" s="387" t="s">
        <v>469</v>
      </c>
      <c r="C288" s="387" t="s">
        <v>470</v>
      </c>
      <c r="D288" s="389">
        <v>2000</v>
      </c>
      <c r="E288" s="390">
        <v>2001</v>
      </c>
      <c r="F288" s="390">
        <v>2002</v>
      </c>
      <c r="G288" s="390">
        <v>2003</v>
      </c>
      <c r="H288" s="390">
        <v>2004</v>
      </c>
      <c r="I288" s="390">
        <v>2005</v>
      </c>
      <c r="J288" s="390">
        <v>2006</v>
      </c>
      <c r="K288" s="390">
        <v>2007</v>
      </c>
      <c r="L288" s="390">
        <v>2008</v>
      </c>
      <c r="M288" s="390">
        <v>2009</v>
      </c>
      <c r="N288" s="391">
        <v>2010</v>
      </c>
      <c r="O288" s="248">
        <v>2011</v>
      </c>
      <c r="P288" s="248">
        <v>2012</v>
      </c>
      <c r="Q288" s="248">
        <v>2013</v>
      </c>
      <c r="R288" s="248">
        <v>2014</v>
      </c>
      <c r="S288" s="248">
        <v>2015</v>
      </c>
      <c r="T288" s="248">
        <v>2016</v>
      </c>
      <c r="U288" s="248">
        <v>2017</v>
      </c>
      <c r="V288" s="248">
        <v>2018</v>
      </c>
      <c r="W288" s="248">
        <v>2019</v>
      </c>
      <c r="X288" s="248">
        <v>2020</v>
      </c>
    </row>
    <row r="289" spans="1:24" ht="12.75">
      <c r="A289" s="312" t="s">
        <v>419</v>
      </c>
      <c r="B289" s="388">
        <f>NPV(0.1,D289:Y289)</f>
        <v>472655.62691273098</v>
      </c>
      <c r="C289" s="388">
        <f>B289-B279</f>
        <v>11836.035906711128</v>
      </c>
      <c r="D289" s="392">
        <v>34766.763350000001</v>
      </c>
      <c r="E289" s="393">
        <v>45037.979815999999</v>
      </c>
      <c r="F289" s="393">
        <v>45111.332775980001</v>
      </c>
      <c r="G289" s="393">
        <v>52055.182377672754</v>
      </c>
      <c r="H289" s="393">
        <v>57222.081101035576</v>
      </c>
      <c r="I289" s="393">
        <v>57463.749046312558</v>
      </c>
      <c r="J289" s="393">
        <v>58370.116141815735</v>
      </c>
      <c r="K289" s="393">
        <v>59295.449481942414</v>
      </c>
      <c r="L289" s="393">
        <v>60240.071310984065</v>
      </c>
      <c r="M289" s="393">
        <v>61204.306138269472</v>
      </c>
      <c r="N289" s="394">
        <v>62188.480584047109</v>
      </c>
      <c r="O289" s="252">
        <v>62875.097861095412</v>
      </c>
      <c r="P289" s="252">
        <v>63563.244135275971</v>
      </c>
      <c r="Q289" s="252">
        <v>64252.393190867369</v>
      </c>
      <c r="R289" s="252">
        <v>64941.985863107519</v>
      </c>
      <c r="S289" s="252">
        <v>65631.428534845269</v>
      </c>
      <c r="T289" s="252">
        <v>66135.868226709223</v>
      </c>
      <c r="U289" s="252">
        <v>66627.807607438677</v>
      </c>
      <c r="V289" s="252">
        <v>67106.042662642838</v>
      </c>
      <c r="W289" s="252">
        <v>67569.308387347541</v>
      </c>
      <c r="X289" s="252">
        <v>48675.970577352178</v>
      </c>
    </row>
    <row r="290" spans="1:24" ht="12.75">
      <c r="A290" s="313" t="s">
        <v>420</v>
      </c>
      <c r="B290" s="388">
        <f>NPV(0.1,D290:Y290)</f>
        <v>205896.61117175309</v>
      </c>
      <c r="C290" s="388">
        <f>B290-B280</f>
        <v>281.52918258975842</v>
      </c>
      <c r="D290" s="392">
        <v>22291.583925529678</v>
      </c>
      <c r="E290" s="393">
        <v>23326.165637208294</v>
      </c>
      <c r="F290" s="393">
        <v>23451.512051486305</v>
      </c>
      <c r="G290" s="393">
        <v>23574.863434652882</v>
      </c>
      <c r="H290" s="393">
        <v>23705.993332052862</v>
      </c>
      <c r="I290" s="393">
        <v>23845.785580135758</v>
      </c>
      <c r="J290" s="393">
        <v>23991.057971369406</v>
      </c>
      <c r="K290" s="393">
        <v>24141.080515287038</v>
      </c>
      <c r="L290" s="393">
        <v>24296.02192260079</v>
      </c>
      <c r="M290" s="393">
        <v>24456.003553080925</v>
      </c>
      <c r="N290" s="394">
        <v>24621.202819554059</v>
      </c>
      <c r="O290" s="252">
        <v>24791.750044968354</v>
      </c>
      <c r="P290" s="252">
        <v>24967.83187422367</v>
      </c>
      <c r="Q290" s="252">
        <v>25149.588139303622</v>
      </c>
      <c r="R290" s="252">
        <v>25337.215279414559</v>
      </c>
      <c r="S290" s="252">
        <v>25534.684404311287</v>
      </c>
      <c r="T290" s="252">
        <v>25742.176525131039</v>
      </c>
      <c r="U290" s="252">
        <v>25956.069803134138</v>
      </c>
      <c r="V290" s="252">
        <v>26176.556273036083</v>
      </c>
      <c r="W290" s="252">
        <v>26403.833730593837</v>
      </c>
      <c r="X290" s="252">
        <v>8685.5602804370792</v>
      </c>
    </row>
    <row r="291" spans="1:24" ht="12.75">
      <c r="A291" s="313" t="s">
        <v>35</v>
      </c>
      <c r="B291" s="388">
        <f>NPV(0.1,D291:Y291)</f>
        <v>92820.639072215228</v>
      </c>
      <c r="C291" s="388">
        <f>B291-B281</f>
        <v>6245.2342587023013</v>
      </c>
      <c r="D291" s="392">
        <v>1708.8945634143142</v>
      </c>
      <c r="E291" s="393">
        <v>3256.882533045442</v>
      </c>
      <c r="F291" s="393">
        <v>3471.1239482766509</v>
      </c>
      <c r="G291" s="393">
        <v>7852.3681698789287</v>
      </c>
      <c r="H291" s="393">
        <v>10934.047002337598</v>
      </c>
      <c r="I291" s="393">
        <v>11306.753186911194</v>
      </c>
      <c r="J291" s="393">
        <v>12041.861084793645</v>
      </c>
      <c r="K291" s="393">
        <v>12690.297988001326</v>
      </c>
      <c r="L291" s="393">
        <v>13376.630227123791</v>
      </c>
      <c r="M291" s="393">
        <v>14103.592182183143</v>
      </c>
      <c r="N291" s="394">
        <v>14874.09847522714</v>
      </c>
      <c r="O291" s="252">
        <v>15499.409763325906</v>
      </c>
      <c r="P291" s="252">
        <v>16157.246457650253</v>
      </c>
      <c r="Q291" s="252">
        <v>16849.925464661981</v>
      </c>
      <c r="R291" s="252">
        <v>17579.914430105106</v>
      </c>
      <c r="S291" s="252">
        <v>18347.600430412647</v>
      </c>
      <c r="T291" s="252">
        <v>19044.562201249151</v>
      </c>
      <c r="U291" s="252">
        <v>19777.190132768526</v>
      </c>
      <c r="V291" s="252">
        <v>20548.04688772505</v>
      </c>
      <c r="W291" s="252">
        <v>21359.900631151082</v>
      </c>
      <c r="X291" s="252">
        <v>21403.862475864276</v>
      </c>
    </row>
    <row r="292" spans="1:24" ht="12.75">
      <c r="A292" s="313" t="s">
        <v>32</v>
      </c>
      <c r="B292" s="388">
        <f>NPV(0.1,D292:Y292)</f>
        <v>102051.08280385927</v>
      </c>
      <c r="C292" s="388">
        <f>B292-B282</f>
        <v>221.40838943327253</v>
      </c>
      <c r="D292" s="395">
        <v>3241.8773022990313</v>
      </c>
      <c r="E292" s="396">
        <v>5281.8163338791383</v>
      </c>
      <c r="F292" s="396">
        <v>5269.1679262470252</v>
      </c>
      <c r="G292" s="396">
        <v>17444.195352599669</v>
      </c>
      <c r="H292" s="396">
        <v>16814.532901077855</v>
      </c>
      <c r="I292" s="396">
        <v>14924.214827165557</v>
      </c>
      <c r="J292" s="396">
        <v>14690.003896323491</v>
      </c>
      <c r="K292" s="396">
        <v>14732.168747559628</v>
      </c>
      <c r="L292" s="396">
        <v>14745.19284280053</v>
      </c>
      <c r="M292" s="396">
        <v>14751.939369981599</v>
      </c>
      <c r="N292" s="397">
        <v>14725.937730372605</v>
      </c>
      <c r="O292" s="252">
        <v>14624.968979819092</v>
      </c>
      <c r="P292" s="252">
        <v>14487.238997537737</v>
      </c>
      <c r="Q292" s="252">
        <v>14335.361133125582</v>
      </c>
      <c r="R292" s="252">
        <v>14142.61310323904</v>
      </c>
      <c r="S292" s="252">
        <v>12110.912308113082</v>
      </c>
      <c r="T292" s="252">
        <v>10007.624071573247</v>
      </c>
      <c r="U292" s="252">
        <v>9682.0866909905053</v>
      </c>
      <c r="V292" s="252">
        <v>9318.243915846404</v>
      </c>
      <c r="W292" s="252">
        <v>8913.3262940258628</v>
      </c>
      <c r="X292" s="252">
        <v>24160.010233833029</v>
      </c>
    </row>
    <row r="294" spans="1:24">
      <c r="A294" s="292" t="s">
        <v>591</v>
      </c>
    </row>
    <row r="295" spans="1:24">
      <c r="A295" s="333">
        <v>36269</v>
      </c>
    </row>
    <row r="296" spans="1:24" ht="12.75">
      <c r="A296" s="308" t="s">
        <v>416</v>
      </c>
      <c r="B296" s="309">
        <v>80975.380410040612</v>
      </c>
      <c r="C296" s="247"/>
      <c r="D296" s="247"/>
      <c r="E296" s="247"/>
      <c r="F296" s="247"/>
      <c r="G296" s="247"/>
      <c r="H296" s="247"/>
      <c r="I296" s="247"/>
      <c r="J296" s="247"/>
      <c r="K296" s="247"/>
      <c r="L296" s="247"/>
      <c r="M296" s="247"/>
      <c r="N296" s="247"/>
      <c r="O296" s="247"/>
      <c r="P296" s="247"/>
      <c r="Q296" s="247"/>
      <c r="R296" s="247"/>
      <c r="S296" s="247"/>
      <c r="T296" s="247"/>
      <c r="U296" s="247"/>
      <c r="V296" s="247"/>
      <c r="W296" s="247"/>
      <c r="X296" s="247"/>
    </row>
    <row r="297" spans="1:24" ht="12.75">
      <c r="A297" s="310" t="s">
        <v>417</v>
      </c>
      <c r="B297" s="311">
        <v>120296.80167628198</v>
      </c>
      <c r="C297" s="247"/>
      <c r="D297" s="247"/>
      <c r="E297" s="247"/>
      <c r="F297" s="247"/>
      <c r="G297" s="247"/>
      <c r="H297" s="247"/>
      <c r="I297" s="247"/>
      <c r="J297" s="247"/>
      <c r="K297" s="247"/>
      <c r="L297" s="247"/>
      <c r="M297" s="247"/>
      <c r="N297" s="247"/>
      <c r="O297" s="247"/>
      <c r="P297" s="247"/>
      <c r="Q297" s="247"/>
      <c r="R297" s="247"/>
      <c r="S297" s="247"/>
      <c r="T297" s="247"/>
      <c r="U297" s="247"/>
      <c r="V297" s="247"/>
      <c r="W297" s="247"/>
      <c r="X297" s="247"/>
    </row>
    <row r="298" spans="1:24" ht="12.75">
      <c r="A298" s="312" t="s">
        <v>418</v>
      </c>
      <c r="B298" s="387" t="s">
        <v>469</v>
      </c>
      <c r="C298" s="387" t="s">
        <v>470</v>
      </c>
      <c r="D298" s="389">
        <v>2000</v>
      </c>
      <c r="E298" s="390">
        <v>2001</v>
      </c>
      <c r="F298" s="390">
        <v>2002</v>
      </c>
      <c r="G298" s="390">
        <v>2003</v>
      </c>
      <c r="H298" s="390">
        <v>2004</v>
      </c>
      <c r="I298" s="390">
        <v>2005</v>
      </c>
      <c r="J298" s="390">
        <v>2006</v>
      </c>
      <c r="K298" s="390">
        <v>2007</v>
      </c>
      <c r="L298" s="390">
        <v>2008</v>
      </c>
      <c r="M298" s="390">
        <v>2009</v>
      </c>
      <c r="N298" s="391">
        <v>2010</v>
      </c>
      <c r="O298" s="248">
        <v>2011</v>
      </c>
      <c r="P298" s="248">
        <v>2012</v>
      </c>
      <c r="Q298" s="248">
        <v>2013</v>
      </c>
      <c r="R298" s="248">
        <v>2014</v>
      </c>
      <c r="S298" s="248">
        <v>2015</v>
      </c>
      <c r="T298" s="248">
        <v>2016</v>
      </c>
      <c r="U298" s="248">
        <v>2017</v>
      </c>
      <c r="V298" s="248">
        <v>2018</v>
      </c>
      <c r="W298" s="248">
        <v>2019</v>
      </c>
      <c r="X298" s="248">
        <v>2020</v>
      </c>
    </row>
    <row r="299" spans="1:24" ht="12.75">
      <c r="A299" s="312" t="s">
        <v>419</v>
      </c>
      <c r="B299" s="388">
        <f>NPV(0.1,D299:Y299)</f>
        <v>472655.62691273098</v>
      </c>
      <c r="C299" s="388">
        <f>B299-B289</f>
        <v>0</v>
      </c>
      <c r="D299" s="392">
        <v>34766.763350000001</v>
      </c>
      <c r="E299" s="393">
        <v>45037.979815999999</v>
      </c>
      <c r="F299" s="393">
        <v>45111.332775980001</v>
      </c>
      <c r="G299" s="393">
        <v>52055.182377672754</v>
      </c>
      <c r="H299" s="393">
        <v>57222.081101035576</v>
      </c>
      <c r="I299" s="393">
        <v>57463.749046312558</v>
      </c>
      <c r="J299" s="393">
        <v>58370.116141815735</v>
      </c>
      <c r="K299" s="393">
        <v>59295.449481942414</v>
      </c>
      <c r="L299" s="393">
        <v>60240.071310984065</v>
      </c>
      <c r="M299" s="393">
        <v>61204.306138269472</v>
      </c>
      <c r="N299" s="394">
        <v>62188.480584047109</v>
      </c>
      <c r="O299" s="252">
        <v>62875.097861095412</v>
      </c>
      <c r="P299" s="252">
        <v>63563.244135275971</v>
      </c>
      <c r="Q299" s="252">
        <v>64252.393190867369</v>
      </c>
      <c r="R299" s="252">
        <v>64941.985863107519</v>
      </c>
      <c r="S299" s="252">
        <v>65631.428534845269</v>
      </c>
      <c r="T299" s="252">
        <v>66135.868226709223</v>
      </c>
      <c r="U299" s="252">
        <v>66627.807607438677</v>
      </c>
      <c r="V299" s="252">
        <v>67106.042662642838</v>
      </c>
      <c r="W299" s="252">
        <v>67569.308387347541</v>
      </c>
      <c r="X299" s="252">
        <v>48675.970577352178</v>
      </c>
    </row>
    <row r="300" spans="1:24" ht="12.75">
      <c r="A300" s="313" t="s">
        <v>420</v>
      </c>
      <c r="B300" s="388">
        <f>NPV(0.1,D300:Y300)</f>
        <v>205477.60196408376</v>
      </c>
      <c r="C300" s="388">
        <f>B300-B290</f>
        <v>-419.00920766932541</v>
      </c>
      <c r="D300" s="392">
        <v>22296.403695714056</v>
      </c>
      <c r="E300" s="393">
        <v>23281.599004065305</v>
      </c>
      <c r="F300" s="393">
        <v>23405.584591910057</v>
      </c>
      <c r="G300" s="393">
        <v>23527.532709102994</v>
      </c>
      <c r="H300" s="393">
        <v>23657.303820932262</v>
      </c>
      <c r="I300" s="393">
        <v>23795.63538368154</v>
      </c>
      <c r="J300" s="393">
        <v>23939.403269021561</v>
      </c>
      <c r="K300" s="393">
        <v>24087.87617186876</v>
      </c>
      <c r="L300" s="393">
        <v>24241.221448879962</v>
      </c>
      <c r="M300" s="393">
        <v>24399.559065148474</v>
      </c>
      <c r="N300" s="394">
        <v>24563.06499698363</v>
      </c>
      <c r="O300" s="252">
        <v>24731.868087720813</v>
      </c>
      <c r="P300" s="252">
        <v>24906.153458258705</v>
      </c>
      <c r="Q300" s="252">
        <v>25086.059370859708</v>
      </c>
      <c r="R300" s="252">
        <v>25271.780647917327</v>
      </c>
      <c r="S300" s="252">
        <v>25467.286733869139</v>
      </c>
      <c r="T300" s="252">
        <v>25672.756924575628</v>
      </c>
      <c r="U300" s="252">
        <v>25884.567614562064</v>
      </c>
      <c r="V300" s="252">
        <v>26102.909018806848</v>
      </c>
      <c r="W300" s="252">
        <v>26327.977058737721</v>
      </c>
      <c r="X300" s="252">
        <v>8607.4279084252812</v>
      </c>
    </row>
    <row r="301" spans="1:24" ht="12.75">
      <c r="A301" s="313" t="s">
        <v>35</v>
      </c>
      <c r="B301" s="388">
        <f>NPV(0.1,D301:Y301)</f>
        <v>93001.136891342772</v>
      </c>
      <c r="C301" s="388">
        <f>B301-B291</f>
        <v>180.49781912754406</v>
      </c>
      <c r="D301" s="392">
        <v>1699.6750080477302</v>
      </c>
      <c r="E301" s="393">
        <v>3272.3170341003497</v>
      </c>
      <c r="F301" s="393">
        <v>3488.0752377895269</v>
      </c>
      <c r="G301" s="393">
        <v>7870.9641245184657</v>
      </c>
      <c r="H301" s="393">
        <v>10953.5679922038</v>
      </c>
      <c r="I301" s="393">
        <v>11327.295037982694</v>
      </c>
      <c r="J301" s="393">
        <v>12063.489241427347</v>
      </c>
      <c r="K301" s="393">
        <v>12713.082643366501</v>
      </c>
      <c r="L301" s="393">
        <v>13400.646688504979</v>
      </c>
      <c r="M301" s="393">
        <v>14128.921265069226</v>
      </c>
      <c r="N301" s="394">
        <v>14900.826928476348</v>
      </c>
      <c r="O301" s="252">
        <v>15527.63072787925</v>
      </c>
      <c r="P301" s="252">
        <v>16187.059961463394</v>
      </c>
      <c r="Q301" s="252">
        <v>16881.43895673857</v>
      </c>
      <c r="R301" s="252">
        <v>17613.243356744966</v>
      </c>
      <c r="S301" s="252">
        <v>18382.868857036759</v>
      </c>
      <c r="T301" s="252">
        <v>19081.903483431845</v>
      </c>
      <c r="U301" s="252">
        <v>19816.747640397341</v>
      </c>
      <c r="V301" s="252">
        <v>20589.974786521831</v>
      </c>
      <c r="W301" s="252">
        <v>21404.36472612599</v>
      </c>
      <c r="X301" s="252">
        <v>21451.041121639792</v>
      </c>
    </row>
    <row r="302" spans="1:24" ht="12.75">
      <c r="A302" s="313" t="s">
        <v>32</v>
      </c>
      <c r="B302" s="388">
        <f>NPV(0.1,D302:Y302)</f>
        <v>102167.69263745117</v>
      </c>
      <c r="C302" s="388">
        <f>B302-B292</f>
        <v>116.60983359189413</v>
      </c>
      <c r="D302" s="395">
        <v>3240.7048005137926</v>
      </c>
      <c r="E302" s="396">
        <v>5292.6580244418037</v>
      </c>
      <c r="F302" s="396">
        <v>5280.3406640093235</v>
      </c>
      <c r="G302" s="396">
        <v>17473.185421998976</v>
      </c>
      <c r="H302" s="396">
        <v>16802.878935028722</v>
      </c>
      <c r="I302" s="396">
        <v>14941.029152799816</v>
      </c>
      <c r="J302" s="396">
        <v>14707.004523127511</v>
      </c>
      <c r="K302" s="396">
        <v>14749.335814280572</v>
      </c>
      <c r="L302" s="396">
        <v>14762.503856324931</v>
      </c>
      <c r="M302" s="396">
        <v>14769.368963497709</v>
      </c>
      <c r="N302" s="397">
        <v>14743.457401247053</v>
      </c>
      <c r="O302" s="252">
        <v>14642.546805536847</v>
      </c>
      <c r="P302" s="252">
        <v>14504.839327921469</v>
      </c>
      <c r="Q302" s="252">
        <v>14352.944256906821</v>
      </c>
      <c r="R302" s="252">
        <v>14160.134886898606</v>
      </c>
      <c r="S302" s="252">
        <v>12128.323804740503</v>
      </c>
      <c r="T302" s="252">
        <v>10024.871097314212</v>
      </c>
      <c r="U302" s="252">
        <v>9699.1093664555992</v>
      </c>
      <c r="V302" s="252">
        <v>9334.9761696434871</v>
      </c>
      <c r="W302" s="252">
        <v>8929.6953253503489</v>
      </c>
      <c r="X302" s="252">
        <v>24207.188879608544</v>
      </c>
    </row>
    <row r="304" spans="1:24">
      <c r="A304" s="292" t="s">
        <v>606</v>
      </c>
    </row>
    <row r="305" spans="1:24">
      <c r="A305" s="333">
        <v>36271</v>
      </c>
    </row>
    <row r="306" spans="1:24" ht="12.75">
      <c r="A306" s="308" t="s">
        <v>416</v>
      </c>
      <c r="B306" s="309">
        <v>80976.206908077278</v>
      </c>
      <c r="C306" s="247"/>
      <c r="D306" s="247"/>
      <c r="E306" s="247"/>
      <c r="F306" s="247"/>
      <c r="G306" s="247"/>
      <c r="H306" s="247"/>
      <c r="I306" s="247"/>
      <c r="J306" s="247"/>
      <c r="K306" s="247"/>
      <c r="L306" s="247"/>
      <c r="M306" s="247"/>
      <c r="N306" s="247"/>
      <c r="O306" s="247"/>
      <c r="P306" s="247"/>
      <c r="Q306" s="247"/>
      <c r="R306" s="247"/>
      <c r="S306" s="247"/>
      <c r="T306" s="247"/>
      <c r="U306" s="247"/>
      <c r="V306" s="247"/>
      <c r="W306" s="247"/>
      <c r="X306" s="247"/>
    </row>
    <row r="307" spans="1:24" ht="12.75">
      <c r="A307" s="310" t="s">
        <v>417</v>
      </c>
      <c r="B307" s="311">
        <v>120297.8027163996</v>
      </c>
      <c r="C307" s="247"/>
      <c r="D307" s="247"/>
      <c r="E307" s="247"/>
      <c r="F307" s="247"/>
      <c r="G307" s="247"/>
      <c r="H307" s="247"/>
      <c r="I307" s="247"/>
      <c r="J307" s="247"/>
      <c r="K307" s="247"/>
      <c r="L307" s="247"/>
      <c r="M307" s="247"/>
      <c r="N307" s="247"/>
      <c r="O307" s="247"/>
      <c r="P307" s="247"/>
      <c r="Q307" s="247"/>
      <c r="R307" s="247"/>
      <c r="S307" s="247"/>
      <c r="T307" s="247"/>
      <c r="U307" s="247"/>
      <c r="V307" s="247"/>
      <c r="W307" s="247"/>
      <c r="X307" s="247"/>
    </row>
    <row r="308" spans="1:24" ht="12.75">
      <c r="A308" s="312" t="s">
        <v>418</v>
      </c>
      <c r="B308" s="387" t="s">
        <v>469</v>
      </c>
      <c r="C308" s="387" t="s">
        <v>470</v>
      </c>
      <c r="D308" s="389">
        <v>2000</v>
      </c>
      <c r="E308" s="390">
        <v>2001</v>
      </c>
      <c r="F308" s="390">
        <v>2002</v>
      </c>
      <c r="G308" s="390">
        <v>2003</v>
      </c>
      <c r="H308" s="390">
        <v>2004</v>
      </c>
      <c r="I308" s="390">
        <v>2005</v>
      </c>
      <c r="J308" s="390">
        <v>2006</v>
      </c>
      <c r="K308" s="390">
        <v>2007</v>
      </c>
      <c r="L308" s="390">
        <v>2008</v>
      </c>
      <c r="M308" s="390">
        <v>2009</v>
      </c>
      <c r="N308" s="391">
        <v>2010</v>
      </c>
      <c r="O308" s="248">
        <v>2011</v>
      </c>
      <c r="P308" s="248">
        <v>2012</v>
      </c>
      <c r="Q308" s="248">
        <v>2013</v>
      </c>
      <c r="R308" s="248">
        <v>2014</v>
      </c>
      <c r="S308" s="248">
        <v>2015</v>
      </c>
      <c r="T308" s="248">
        <v>2016</v>
      </c>
      <c r="U308" s="248">
        <v>2017</v>
      </c>
      <c r="V308" s="248">
        <v>2018</v>
      </c>
      <c r="W308" s="248">
        <v>2019</v>
      </c>
      <c r="X308" s="248">
        <v>2020</v>
      </c>
    </row>
    <row r="309" spans="1:24" ht="12.75">
      <c r="A309" s="312" t="s">
        <v>419</v>
      </c>
      <c r="B309" s="388">
        <f>NPV(0.1,D309:Y309)</f>
        <v>468949.14904135128</v>
      </c>
      <c r="C309" s="388">
        <f>B309-B299</f>
        <v>-3706.4778713796986</v>
      </c>
      <c r="D309" s="392">
        <v>34331.401850000002</v>
      </c>
      <c r="E309" s="393">
        <v>44602.618316</v>
      </c>
      <c r="F309" s="393">
        <v>44675.971275980002</v>
      </c>
      <c r="G309" s="393">
        <v>51619.820877672755</v>
      </c>
      <c r="H309" s="393">
        <v>56786.719601035576</v>
      </c>
      <c r="I309" s="393">
        <v>57028.387546312559</v>
      </c>
      <c r="J309" s="393">
        <v>57934.754641815736</v>
      </c>
      <c r="K309" s="393">
        <v>58860.087981942415</v>
      </c>
      <c r="L309" s="393">
        <v>59804.709810984066</v>
      </c>
      <c r="M309" s="393">
        <v>60768.944638269473</v>
      </c>
      <c r="N309" s="394">
        <v>61753.11908404711</v>
      </c>
      <c r="O309" s="252">
        <v>62439.736361095413</v>
      </c>
      <c r="P309" s="252">
        <v>63127.882635275972</v>
      </c>
      <c r="Q309" s="252">
        <v>63817.03169086737</v>
      </c>
      <c r="R309" s="252">
        <v>64506.624363107519</v>
      </c>
      <c r="S309" s="252">
        <v>65196.067034845277</v>
      </c>
      <c r="T309" s="252">
        <v>65700.506726709224</v>
      </c>
      <c r="U309" s="252">
        <v>66192.446107438678</v>
      </c>
      <c r="V309" s="252">
        <v>66670.681162642839</v>
      </c>
      <c r="W309" s="252">
        <v>67133.946887347542</v>
      </c>
      <c r="X309" s="252">
        <v>48675.970577352178</v>
      </c>
    </row>
    <row r="310" spans="1:24" ht="12.75">
      <c r="A310" s="313" t="s">
        <v>420</v>
      </c>
      <c r="B310" s="388">
        <f>NPV(0.1,D310:Y310)</f>
        <v>201771.11165713007</v>
      </c>
      <c r="C310" s="388">
        <f>B310-B300</f>
        <v>-3706.4903069536958</v>
      </c>
      <c r="D310" s="392">
        <v>21861.040141104339</v>
      </c>
      <c r="E310" s="393">
        <v>22846.235485277146</v>
      </c>
      <c r="F310" s="393">
        <v>22970.221108905738</v>
      </c>
      <c r="G310" s="393">
        <v>23092.169261841271</v>
      </c>
      <c r="H310" s="393">
        <v>23221.940731816929</v>
      </c>
      <c r="I310" s="393">
        <v>23360.272383859552</v>
      </c>
      <c r="J310" s="393">
        <v>23504.040355729365</v>
      </c>
      <c r="K310" s="393">
        <v>23652.513345190106</v>
      </c>
      <c r="L310" s="393">
        <v>23805.858708731103</v>
      </c>
      <c r="M310" s="393">
        <v>23964.196411613149</v>
      </c>
      <c r="N310" s="394">
        <v>24127.702429978097</v>
      </c>
      <c r="O310" s="252">
        <v>24296.505607328821</v>
      </c>
      <c r="P310" s="252">
        <v>24470.791064396504</v>
      </c>
      <c r="Q310" s="252">
        <v>24650.697063611042</v>
      </c>
      <c r="R310" s="252">
        <v>24836.418427198456</v>
      </c>
      <c r="S310" s="252">
        <v>25031.924574975546</v>
      </c>
      <c r="T310" s="252">
        <v>25237.394802802806</v>
      </c>
      <c r="U310" s="252">
        <v>25449.205529910007</v>
      </c>
      <c r="V310" s="252">
        <v>25667.546971275555</v>
      </c>
      <c r="W310" s="252">
        <v>25892.615048327192</v>
      </c>
      <c r="X310" s="252">
        <v>8607.4274351355198</v>
      </c>
    </row>
    <row r="311" spans="1:24" ht="12.75">
      <c r="A311" s="313" t="s">
        <v>35</v>
      </c>
      <c r="B311" s="388">
        <f>NPV(0.1,D311:Y311)</f>
        <v>93001.289212407704</v>
      </c>
      <c r="C311" s="388">
        <f>B311-B301</f>
        <v>0.15232106493203901</v>
      </c>
      <c r="D311" s="392">
        <v>1699.6863490777835</v>
      </c>
      <c r="E311" s="393">
        <v>3272.3356247695192</v>
      </c>
      <c r="F311" s="393">
        <v>3488.0938549965999</v>
      </c>
      <c r="G311" s="393">
        <v>7870.9827707473751</v>
      </c>
      <c r="H311" s="393">
        <v>10953.586442843583</v>
      </c>
      <c r="I311" s="393">
        <v>11327.313450193564</v>
      </c>
      <c r="J311" s="393">
        <v>12063.507616413073</v>
      </c>
      <c r="K311" s="393">
        <v>12713.100980627101</v>
      </c>
      <c r="L311" s="393">
        <v>13400.664987604068</v>
      </c>
      <c r="M311" s="393">
        <v>14128.939525431926</v>
      </c>
      <c r="N311" s="394">
        <v>14900.845149585364</v>
      </c>
      <c r="O311" s="252">
        <v>15527.648909072326</v>
      </c>
      <c r="P311" s="252">
        <v>16187.078102128871</v>
      </c>
      <c r="Q311" s="252">
        <v>16881.457056112289</v>
      </c>
      <c r="R311" s="252">
        <v>17613.2614141052</v>
      </c>
      <c r="S311" s="252">
        <v>18382.886886468361</v>
      </c>
      <c r="T311" s="252">
        <v>19081.921499424509</v>
      </c>
      <c r="U311" s="252">
        <v>19816.76564296073</v>
      </c>
      <c r="V311" s="252">
        <v>20589.992775666338</v>
      </c>
      <c r="W311" s="252">
        <v>21404.382701862876</v>
      </c>
      <c r="X311" s="252">
        <v>21451.059083981199</v>
      </c>
    </row>
    <row r="312" spans="1:24" ht="12.75">
      <c r="A312" s="313" t="s">
        <v>32</v>
      </c>
      <c r="B312" s="388">
        <f>NPV(0.1,D312:Y312)</f>
        <v>102167.50829482991</v>
      </c>
      <c r="C312" s="388">
        <f>B312-B302</f>
        <v>-0.18434262125811074</v>
      </c>
      <c r="D312" s="395">
        <v>3240.7053003371188</v>
      </c>
      <c r="E312" s="396">
        <v>5292.6585155508465</v>
      </c>
      <c r="F312" s="396">
        <v>5280.3411464132578</v>
      </c>
      <c r="G312" s="396">
        <v>17473.186614696784</v>
      </c>
      <c r="H312" s="396">
        <v>16802.726515118175</v>
      </c>
      <c r="I312" s="396">
        <v>14941.00472946341</v>
      </c>
      <c r="J312" s="396">
        <v>14706.981387964435</v>
      </c>
      <c r="K312" s="396">
        <v>14749.312611720816</v>
      </c>
      <c r="L312" s="396">
        <v>14762.480666471436</v>
      </c>
      <c r="M312" s="396">
        <v>14769.345706931954</v>
      </c>
      <c r="N312" s="397">
        <v>14743.434158126744</v>
      </c>
      <c r="O312" s="252">
        <v>14642.523496502599</v>
      </c>
      <c r="P312" s="252">
        <v>14504.81603319484</v>
      </c>
      <c r="Q312" s="252">
        <v>14352.920897197404</v>
      </c>
      <c r="R312" s="252">
        <v>14160.111542502451</v>
      </c>
      <c r="S312" s="252">
        <v>12128.312205432643</v>
      </c>
      <c r="T312" s="252">
        <v>10024.871248419564</v>
      </c>
      <c r="U312" s="252">
        <v>9699.109503913387</v>
      </c>
      <c r="V312" s="252">
        <v>9334.9762934466671</v>
      </c>
      <c r="W312" s="252">
        <v>8929.6954354912996</v>
      </c>
      <c r="X312" s="252">
        <v>24207.18916539495</v>
      </c>
    </row>
    <row r="314" spans="1:24">
      <c r="A314" s="292" t="s">
        <v>607</v>
      </c>
    </row>
    <row r="315" spans="1:24">
      <c r="A315" s="333">
        <v>36271</v>
      </c>
    </row>
    <row r="316" spans="1:24" ht="12.75">
      <c r="A316" s="308" t="s">
        <v>416</v>
      </c>
      <c r="B316" s="309">
        <v>80681.485829341487</v>
      </c>
      <c r="C316" s="247"/>
      <c r="D316" s="247"/>
      <c r="E316" s="247"/>
      <c r="F316" s="247"/>
      <c r="G316" s="247"/>
      <c r="H316" s="247"/>
      <c r="I316" s="247"/>
      <c r="J316" s="247"/>
      <c r="K316" s="247"/>
      <c r="L316" s="247"/>
      <c r="M316" s="247"/>
      <c r="N316" s="247"/>
      <c r="O316" s="247"/>
      <c r="P316" s="247"/>
      <c r="Q316" s="247"/>
      <c r="R316" s="247"/>
      <c r="S316" s="247"/>
      <c r="T316" s="247"/>
      <c r="U316" s="247"/>
      <c r="V316" s="247"/>
      <c r="W316" s="247"/>
      <c r="X316" s="247"/>
    </row>
    <row r="317" spans="1:24" ht="12.75">
      <c r="A317" s="310" t="s">
        <v>417</v>
      </c>
      <c r="B317" s="311">
        <v>119934.30437748934</v>
      </c>
      <c r="C317" s="247"/>
      <c r="D317" s="247"/>
      <c r="E317" s="247"/>
      <c r="F317" s="247"/>
      <c r="G317" s="247"/>
      <c r="H317" s="247"/>
      <c r="I317" s="247"/>
      <c r="J317" s="247"/>
      <c r="K317" s="247"/>
      <c r="L317" s="247"/>
      <c r="M317" s="247"/>
      <c r="N317" s="247"/>
      <c r="O317" s="247"/>
      <c r="P317" s="247"/>
      <c r="Q317" s="247"/>
      <c r="R317" s="247"/>
      <c r="S317" s="247"/>
      <c r="T317" s="247"/>
      <c r="U317" s="247"/>
      <c r="V317" s="247"/>
      <c r="W317" s="247"/>
      <c r="X317" s="247"/>
    </row>
    <row r="318" spans="1:24" ht="12.75">
      <c r="A318" s="312" t="s">
        <v>418</v>
      </c>
      <c r="B318" s="387" t="s">
        <v>469</v>
      </c>
      <c r="C318" s="387" t="s">
        <v>470</v>
      </c>
      <c r="D318" s="389">
        <v>2000</v>
      </c>
      <c r="E318" s="390">
        <v>2001</v>
      </c>
      <c r="F318" s="390">
        <v>2002</v>
      </c>
      <c r="G318" s="390">
        <v>2003</v>
      </c>
      <c r="H318" s="390">
        <v>2004</v>
      </c>
      <c r="I318" s="390">
        <v>2005</v>
      </c>
      <c r="J318" s="390">
        <v>2006</v>
      </c>
      <c r="K318" s="390">
        <v>2007</v>
      </c>
      <c r="L318" s="390">
        <v>2008</v>
      </c>
      <c r="M318" s="390">
        <v>2009</v>
      </c>
      <c r="N318" s="391">
        <v>2010</v>
      </c>
      <c r="O318" s="248">
        <v>2011</v>
      </c>
      <c r="P318" s="248">
        <v>2012</v>
      </c>
      <c r="Q318" s="248">
        <v>2013</v>
      </c>
      <c r="R318" s="248">
        <v>2014</v>
      </c>
      <c r="S318" s="248">
        <v>2015</v>
      </c>
      <c r="T318" s="248">
        <v>2016</v>
      </c>
      <c r="U318" s="248">
        <v>2017</v>
      </c>
      <c r="V318" s="248">
        <v>2018</v>
      </c>
      <c r="W318" s="248">
        <v>2019</v>
      </c>
      <c r="X318" s="248">
        <v>2020</v>
      </c>
    </row>
    <row r="319" spans="1:24" ht="12.75">
      <c r="A319" s="312" t="s">
        <v>419</v>
      </c>
      <c r="B319" s="388">
        <f>NPV(0.1,D319:Y319)</f>
        <v>466410.80295577878</v>
      </c>
      <c r="C319" s="388">
        <f>B319-B309</f>
        <v>-2538.3460855724989</v>
      </c>
      <c r="D319" s="392">
        <v>32290.096840000002</v>
      </c>
      <c r="E319" s="393">
        <v>44601.274155699997</v>
      </c>
      <c r="F319" s="393">
        <v>44674.586790870999</v>
      </c>
      <c r="G319" s="393">
        <v>50637.209707594295</v>
      </c>
      <c r="H319" s="393">
        <v>56785.250800783433</v>
      </c>
      <c r="I319" s="393">
        <v>57026.874682052861</v>
      </c>
      <c r="J319" s="393">
        <v>57933.19639162824</v>
      </c>
      <c r="K319" s="393">
        <v>58858.482984249298</v>
      </c>
      <c r="L319" s="393">
        <v>59803.056663360156</v>
      </c>
      <c r="M319" s="393">
        <v>60767.241896216845</v>
      </c>
      <c r="N319" s="394">
        <v>61751.365259732906</v>
      </c>
      <c r="O319" s="252">
        <v>62437.929922051779</v>
      </c>
      <c r="P319" s="252">
        <v>63126.022003061029</v>
      </c>
      <c r="Q319" s="252">
        <v>63815.115239685976</v>
      </c>
      <c r="R319" s="252">
        <v>64504.650418390687</v>
      </c>
      <c r="S319" s="252">
        <v>65194.033871786945</v>
      </c>
      <c r="T319" s="252">
        <v>65698.412568759144</v>
      </c>
      <c r="U319" s="252">
        <v>66190.289124750081</v>
      </c>
      <c r="V319" s="252">
        <v>66668.459470473594</v>
      </c>
      <c r="W319" s="252">
        <v>67131.658544413222</v>
      </c>
      <c r="X319" s="252">
        <v>48675.970577352178</v>
      </c>
    </row>
    <row r="320" spans="1:24" ht="12.75">
      <c r="A320" s="313" t="s">
        <v>420</v>
      </c>
      <c r="B320" s="388">
        <f>NPV(0.1,D320:Y320)</f>
        <v>201607.20432356637</v>
      </c>
      <c r="C320" s="388">
        <f>B320-B310</f>
        <v>-163.9073335636931</v>
      </c>
      <c r="D320" s="392">
        <v>21688.033703484336</v>
      </c>
      <c r="E320" s="393">
        <v>22846.164069403316</v>
      </c>
      <c r="F320" s="393">
        <v>22970.087362245711</v>
      </c>
      <c r="G320" s="393">
        <v>23092.813012708189</v>
      </c>
      <c r="H320" s="393">
        <v>23221.047870579037</v>
      </c>
      <c r="I320" s="393">
        <v>23359.249498614096</v>
      </c>
      <c r="J320" s="393">
        <v>23502.972084556124</v>
      </c>
      <c r="K320" s="393">
        <v>23651.398326511233</v>
      </c>
      <c r="L320" s="393">
        <v>23804.695540121436</v>
      </c>
      <c r="M320" s="393">
        <v>23962.983648574769</v>
      </c>
      <c r="N320" s="394">
        <v>24126.438584678137</v>
      </c>
      <c r="O320" s="252">
        <v>24295.189147299432</v>
      </c>
      <c r="P320" s="252">
        <v>24469.420411195806</v>
      </c>
      <c r="Q320" s="252">
        <v>24649.270591443896</v>
      </c>
      <c r="R320" s="252">
        <v>24834.934461495872</v>
      </c>
      <c r="S320" s="252">
        <v>25030.381390931456</v>
      </c>
      <c r="T320" s="252">
        <v>25235.79062386696</v>
      </c>
      <c r="U320" s="252">
        <v>25447.538526235661</v>
      </c>
      <c r="V320" s="252">
        <v>25665.815258120554</v>
      </c>
      <c r="W320" s="252">
        <v>25890.816684407117</v>
      </c>
      <c r="X320" s="252">
        <v>8605.5472959274139</v>
      </c>
    </row>
    <row r="321" spans="1:24" ht="12.75">
      <c r="A321" s="313" t="s">
        <v>35</v>
      </c>
      <c r="B321" s="388">
        <f>NPV(0.1,D321:Y321)</f>
        <v>92363.457111383264</v>
      </c>
      <c r="C321" s="388">
        <f>B321-B311</f>
        <v>-637.83210102443991</v>
      </c>
      <c r="D321" s="392">
        <v>1422.1476266281998</v>
      </c>
      <c r="E321" s="393">
        <v>3286.6796373308675</v>
      </c>
      <c r="F321" s="393">
        <v>3503.5771267194659</v>
      </c>
      <c r="G321" s="393">
        <v>7294.7167802858758</v>
      </c>
      <c r="H321" s="393">
        <v>10953.32295973792</v>
      </c>
      <c r="I321" s="393">
        <v>11302.686007278575</v>
      </c>
      <c r="J321" s="393">
        <v>12063.288842415372</v>
      </c>
      <c r="K321" s="393">
        <v>12712.879023060084</v>
      </c>
      <c r="L321" s="393">
        <v>13400.439591782186</v>
      </c>
      <c r="M321" s="393">
        <v>14128.710416294789</v>
      </c>
      <c r="N321" s="394">
        <v>14900.612030067752</v>
      </c>
      <c r="O321" s="252">
        <v>15527.411458343802</v>
      </c>
      <c r="P321" s="252">
        <v>16186.835973692569</v>
      </c>
      <c r="Q321" s="252">
        <v>16881.209875751574</v>
      </c>
      <c r="R321" s="252">
        <v>17613.008777666117</v>
      </c>
      <c r="S321" s="252">
        <v>18382.628357464659</v>
      </c>
      <c r="T321" s="252">
        <v>19081.656606451012</v>
      </c>
      <c r="U321" s="252">
        <v>19816.493876899836</v>
      </c>
      <c r="V321" s="252">
        <v>20589.713586671074</v>
      </c>
      <c r="W321" s="252">
        <v>21404.095496098489</v>
      </c>
      <c r="X321" s="252">
        <v>21448.467024101694</v>
      </c>
    </row>
    <row r="322" spans="1:24" ht="12.75">
      <c r="A322" s="313" t="s">
        <v>32</v>
      </c>
      <c r="B322" s="388">
        <f>NPV(0.1,D322:Y322)</f>
        <v>101793.24630995972</v>
      </c>
      <c r="C322" s="388">
        <f>B322-B312</f>
        <v>-374.26198487018701</v>
      </c>
      <c r="D322" s="395">
        <v>2786.2057437869853</v>
      </c>
      <c r="E322" s="396">
        <v>5292.3488959933284</v>
      </c>
      <c r="F322" s="396">
        <v>5280.0368802328803</v>
      </c>
      <c r="G322" s="396">
        <v>16870.942975617741</v>
      </c>
      <c r="H322" s="396">
        <v>17513.900417578792</v>
      </c>
      <c r="I322" s="396">
        <v>14957.372404609678</v>
      </c>
      <c r="J322" s="396">
        <v>14706.829341472909</v>
      </c>
      <c r="K322" s="396">
        <v>14749.162719860462</v>
      </c>
      <c r="L322" s="396">
        <v>14762.333101612754</v>
      </c>
      <c r="M322" s="396">
        <v>14769.200655235069</v>
      </c>
      <c r="N322" s="397">
        <v>14743.291820644608</v>
      </c>
      <c r="O322" s="252">
        <v>14642.38409037239</v>
      </c>
      <c r="P322" s="252">
        <v>14504.679792924711</v>
      </c>
      <c r="Q322" s="252">
        <v>14352.78807605616</v>
      </c>
      <c r="R322" s="252">
        <v>14159.982414020405</v>
      </c>
      <c r="S322" s="252">
        <v>12128.187065022532</v>
      </c>
      <c r="T322" s="252">
        <v>10024.750415127139</v>
      </c>
      <c r="U322" s="252">
        <v>9698.9933223080589</v>
      </c>
      <c r="V322" s="252">
        <v>9334.8651356634055</v>
      </c>
      <c r="W322" s="252">
        <v>8929.5897034358804</v>
      </c>
      <c r="X322" s="252">
        <v>24210.847105515444</v>
      </c>
    </row>
    <row r="324" spans="1:24">
      <c r="A324" s="292" t="s">
        <v>615</v>
      </c>
    </row>
    <row r="325" spans="1:24">
      <c r="A325" s="333">
        <v>36285</v>
      </c>
    </row>
    <row r="326" spans="1:24" ht="12.75">
      <c r="A326" s="308" t="s">
        <v>416</v>
      </c>
      <c r="B326" s="309">
        <v>74278.546709100774</v>
      </c>
      <c r="C326" s="247"/>
      <c r="D326" s="247"/>
      <c r="E326" s="247"/>
      <c r="F326" s="247"/>
      <c r="G326" s="247"/>
      <c r="H326" s="247"/>
      <c r="I326" s="247"/>
      <c r="J326" s="247"/>
      <c r="K326" s="247"/>
      <c r="L326" s="247"/>
      <c r="M326" s="247"/>
      <c r="N326" s="247"/>
      <c r="O326" s="247"/>
      <c r="P326" s="247"/>
      <c r="Q326" s="247"/>
      <c r="R326" s="247"/>
      <c r="S326" s="247"/>
      <c r="T326" s="247"/>
      <c r="U326" s="247"/>
      <c r="V326" s="247"/>
      <c r="W326" s="247"/>
      <c r="X326" s="247"/>
    </row>
    <row r="327" spans="1:24" ht="12.75">
      <c r="A327" s="310" t="s">
        <v>417</v>
      </c>
      <c r="B327" s="311">
        <v>111575.99801023384</v>
      </c>
      <c r="C327" s="247"/>
      <c r="D327" s="247"/>
      <c r="E327" s="247"/>
      <c r="F327" s="247"/>
      <c r="G327" s="247"/>
      <c r="H327" s="247"/>
      <c r="I327" s="247"/>
      <c r="J327" s="247"/>
      <c r="K327" s="247"/>
      <c r="L327" s="247"/>
      <c r="M327" s="247"/>
      <c r="N327" s="247"/>
      <c r="O327" s="247"/>
      <c r="P327" s="247"/>
      <c r="Q327" s="247"/>
      <c r="R327" s="247"/>
      <c r="S327" s="247"/>
      <c r="T327" s="247"/>
      <c r="U327" s="247"/>
      <c r="V327" s="247"/>
      <c r="W327" s="247"/>
      <c r="X327" s="247"/>
    </row>
    <row r="328" spans="1:24" ht="12.75">
      <c r="A328" s="312" t="s">
        <v>418</v>
      </c>
      <c r="B328" s="387" t="s">
        <v>469</v>
      </c>
      <c r="C328" s="387" t="s">
        <v>470</v>
      </c>
      <c r="D328" s="389">
        <v>2000</v>
      </c>
      <c r="E328" s="390">
        <v>2001</v>
      </c>
      <c r="F328" s="390">
        <v>2002</v>
      </c>
      <c r="G328" s="390">
        <v>2003</v>
      </c>
      <c r="H328" s="390">
        <v>2004</v>
      </c>
      <c r="I328" s="390">
        <v>2005</v>
      </c>
      <c r="J328" s="390">
        <v>2006</v>
      </c>
      <c r="K328" s="390">
        <v>2007</v>
      </c>
      <c r="L328" s="390">
        <v>2008</v>
      </c>
      <c r="M328" s="390">
        <v>2009</v>
      </c>
      <c r="N328" s="391">
        <v>2010</v>
      </c>
      <c r="O328" s="248">
        <v>2011</v>
      </c>
      <c r="P328" s="248">
        <v>2012</v>
      </c>
      <c r="Q328" s="248">
        <v>2013</v>
      </c>
      <c r="R328" s="248">
        <v>2014</v>
      </c>
      <c r="S328" s="248">
        <v>2015</v>
      </c>
      <c r="T328" s="248">
        <v>2016</v>
      </c>
      <c r="U328" s="248">
        <v>2017</v>
      </c>
      <c r="V328" s="248">
        <v>2018</v>
      </c>
      <c r="W328" s="248">
        <v>2019</v>
      </c>
      <c r="X328" s="248">
        <v>2020</v>
      </c>
    </row>
    <row r="329" spans="1:24" ht="12.75">
      <c r="A329" s="312" t="s">
        <v>419</v>
      </c>
      <c r="B329" s="388">
        <f>NPV(0.1,D329:Y329)</f>
        <v>459692.00733651023</v>
      </c>
      <c r="C329" s="388">
        <f>B329-B319</f>
        <v>-6718.7956192685524</v>
      </c>
      <c r="D329" s="392">
        <v>32290.096840000002</v>
      </c>
      <c r="E329" s="393">
        <v>44601.274155699997</v>
      </c>
      <c r="F329" s="393">
        <v>44674.586790870999</v>
      </c>
      <c r="G329" s="393">
        <v>50149.984478348633</v>
      </c>
      <c r="H329" s="393">
        <v>55688.892186308149</v>
      </c>
      <c r="I329" s="393">
        <v>55926.767835808387</v>
      </c>
      <c r="J329" s="393">
        <v>56816.079884424151</v>
      </c>
      <c r="K329" s="393">
        <v>57724.011021621656</v>
      </c>
      <c r="L329" s="393">
        <v>58650.87801187201</v>
      </c>
      <c r="M329" s="393">
        <v>59596.999868334926</v>
      </c>
      <c r="N329" s="394">
        <v>60562.697702691956</v>
      </c>
      <c r="O329" s="252">
        <v>61236.825718019063</v>
      </c>
      <c r="P329" s="252">
        <v>61912.489443050377</v>
      </c>
      <c r="Q329" s="252">
        <v>62589.174305154338</v>
      </c>
      <c r="R329" s="252">
        <v>63266.333475202824</v>
      </c>
      <c r="S329" s="252">
        <v>63943.386395296548</v>
      </c>
      <c r="T329" s="252">
        <v>64439.178368167661</v>
      </c>
      <c r="U329" s="252">
        <v>64922.763268372277</v>
      </c>
      <c r="V329" s="252">
        <v>65392.96245877484</v>
      </c>
      <c r="W329" s="252">
        <v>65848.537570377011</v>
      </c>
      <c r="X329" s="252">
        <v>47763.65258237275</v>
      </c>
    </row>
    <row r="330" spans="1:24" ht="12.75">
      <c r="A330" s="313" t="s">
        <v>420</v>
      </c>
      <c r="B330" s="388">
        <f>NPV(0.1,D330:Y330)</f>
        <v>202971.35526361872</v>
      </c>
      <c r="C330" s="388">
        <f>B330-B320</f>
        <v>1364.1509400523501</v>
      </c>
      <c r="D330" s="392">
        <v>21687.897856361793</v>
      </c>
      <c r="E330" s="393">
        <v>22845.745876328154</v>
      </c>
      <c r="F330" s="393">
        <v>22969.364686780355</v>
      </c>
      <c r="G330" s="393">
        <v>23153.322506714678</v>
      </c>
      <c r="H330" s="393">
        <v>23357.402703740558</v>
      </c>
      <c r="I330" s="393">
        <v>23510.20534237046</v>
      </c>
      <c r="J330" s="393">
        <v>23668.966969225177</v>
      </c>
      <c r="K330" s="393">
        <v>23832.88342332036</v>
      </c>
      <c r="L330" s="393">
        <v>24002.135555434837</v>
      </c>
      <c r="M330" s="393">
        <v>24176.857229947571</v>
      </c>
      <c r="N330" s="394">
        <v>24357.238739092125</v>
      </c>
      <c r="O330" s="252">
        <v>24543.423671945839</v>
      </c>
      <c r="P330" s="252">
        <v>24735.612337181607</v>
      </c>
      <c r="Q330" s="252">
        <v>24933.958640809269</v>
      </c>
      <c r="R330" s="252">
        <v>25138.673517942207</v>
      </c>
      <c r="S330" s="252">
        <v>25353.742984671178</v>
      </c>
      <c r="T330" s="252">
        <v>25579.363431018875</v>
      </c>
      <c r="U330" s="252">
        <v>25811.928883202134</v>
      </c>
      <c r="V330" s="252">
        <v>26051.647691396021</v>
      </c>
      <c r="W330" s="252">
        <v>26298.734456280847</v>
      </c>
      <c r="X330" s="252">
        <v>9386.5584865573546</v>
      </c>
    </row>
    <row r="331" spans="1:24" ht="12.75">
      <c r="A331" s="313" t="s">
        <v>35</v>
      </c>
      <c r="B331" s="388">
        <f>NPV(0.1,D331:Y331)</f>
        <v>89053.564274515855</v>
      </c>
      <c r="C331" s="388">
        <f>B331-B321</f>
        <v>-3309.8928368674096</v>
      </c>
      <c r="D331" s="392">
        <v>1517.7288358562644</v>
      </c>
      <c r="E331" s="393">
        <v>3485.3365324239535</v>
      </c>
      <c r="F331" s="393">
        <v>3717.8090846614359</v>
      </c>
      <c r="G331" s="393">
        <v>7194.3687297650658</v>
      </c>
      <c r="H331" s="393">
        <v>10447.342685569503</v>
      </c>
      <c r="I331" s="393">
        <v>10781.170308528537</v>
      </c>
      <c r="J331" s="393">
        <v>11517.258953204708</v>
      </c>
      <c r="K331" s="393">
        <v>12140.829115791983</v>
      </c>
      <c r="L331" s="393">
        <v>12800.755204751576</v>
      </c>
      <c r="M331" s="393">
        <v>13499.660063108795</v>
      </c>
      <c r="N331" s="394">
        <v>14240.33814517985</v>
      </c>
      <c r="O331" s="252">
        <v>14837.758873433611</v>
      </c>
      <c r="P331" s="252">
        <v>15466.016479475669</v>
      </c>
      <c r="Q331" s="252">
        <v>16127.304832514155</v>
      </c>
      <c r="R331" s="252">
        <v>16823.958932531375</v>
      </c>
      <c r="S331" s="252">
        <v>17556.222850778839</v>
      </c>
      <c r="T331" s="252">
        <v>18217.7458929247</v>
      </c>
      <c r="U331" s="252">
        <v>18912.731131202978</v>
      </c>
      <c r="V331" s="252">
        <v>19643.577706409924</v>
      </c>
      <c r="W331" s="252">
        <v>20412.877379556165</v>
      </c>
      <c r="X331" s="252">
        <v>20425.984591120556</v>
      </c>
    </row>
    <row r="332" spans="1:24" ht="12.75">
      <c r="A332" s="313" t="s">
        <v>32</v>
      </c>
      <c r="B332" s="388">
        <f>NPV(0.1,D332:Y332)</f>
        <v>99051.629544054682</v>
      </c>
      <c r="C332" s="388">
        <f>B332-B322</f>
        <v>-2741.6167659050407</v>
      </c>
      <c r="D332" s="395">
        <v>2786.2387912119893</v>
      </c>
      <c r="E332" s="396">
        <v>5292.4506295010369</v>
      </c>
      <c r="F332" s="396">
        <v>5280.2126849374317</v>
      </c>
      <c r="G332" s="396">
        <v>16535.455457625794</v>
      </c>
      <c r="H332" s="396">
        <v>16825.093640369691</v>
      </c>
      <c r="I332" s="396">
        <v>14544.056932736396</v>
      </c>
      <c r="J332" s="396">
        <v>14290.475178038065</v>
      </c>
      <c r="K332" s="396">
        <v>14330.300863455694</v>
      </c>
      <c r="L332" s="396">
        <v>14341.556452460456</v>
      </c>
      <c r="M332" s="396">
        <v>14347.169435938924</v>
      </c>
      <c r="N332" s="397">
        <v>14320.739441237823</v>
      </c>
      <c r="O332" s="252">
        <v>14221.419138271473</v>
      </c>
      <c r="P332" s="252">
        <v>14086.197245068768</v>
      </c>
      <c r="Q332" s="252">
        <v>13937.768734048805</v>
      </c>
      <c r="R332" s="252">
        <v>13749.499932508998</v>
      </c>
      <c r="S332" s="252">
        <v>11723.415539288286</v>
      </c>
      <c r="T332" s="252">
        <v>9627.7235760338408</v>
      </c>
      <c r="U332" s="252">
        <v>9311.1088432392007</v>
      </c>
      <c r="V332" s="252">
        <v>8957.6430760124749</v>
      </c>
      <c r="W332" s="252">
        <v>8564.6822335268789</v>
      </c>
      <c r="X332" s="252">
        <v>23188.364672534306</v>
      </c>
    </row>
    <row r="334" spans="1:24">
      <c r="A334" s="292" t="s">
        <v>616</v>
      </c>
    </row>
    <row r="335" spans="1:24">
      <c r="A335" s="333">
        <v>36285</v>
      </c>
    </row>
    <row r="336" spans="1:24" ht="12.75">
      <c r="A336" s="308" t="s">
        <v>416</v>
      </c>
      <c r="B336" s="309">
        <v>68450.180503841053</v>
      </c>
      <c r="C336" s="247"/>
      <c r="D336" s="247"/>
      <c r="E336" s="247"/>
      <c r="F336" s="247"/>
      <c r="G336" s="247"/>
      <c r="H336" s="247"/>
      <c r="I336" s="247"/>
      <c r="J336" s="247"/>
      <c r="K336" s="247"/>
      <c r="L336" s="247"/>
      <c r="M336" s="247"/>
      <c r="N336" s="247"/>
      <c r="O336" s="247"/>
      <c r="P336" s="247"/>
      <c r="Q336" s="247"/>
      <c r="R336" s="247"/>
      <c r="S336" s="247"/>
      <c r="T336" s="247"/>
      <c r="U336" s="247"/>
      <c r="V336" s="247"/>
      <c r="W336" s="247"/>
      <c r="X336" s="247"/>
    </row>
    <row r="337" spans="1:24" ht="12.75">
      <c r="A337" s="310" t="s">
        <v>417</v>
      </c>
      <c r="B337" s="311">
        <v>103994.84029196655</v>
      </c>
      <c r="C337" s="247"/>
      <c r="D337" s="247"/>
      <c r="E337" s="247"/>
      <c r="F337" s="247"/>
      <c r="G337" s="247"/>
      <c r="H337" s="247"/>
      <c r="I337" s="247"/>
      <c r="J337" s="247"/>
      <c r="K337" s="247"/>
      <c r="L337" s="247"/>
      <c r="M337" s="247"/>
      <c r="N337" s="247"/>
      <c r="O337" s="247"/>
      <c r="P337" s="247"/>
      <c r="Q337" s="247"/>
      <c r="R337" s="247"/>
      <c r="S337" s="247"/>
      <c r="T337" s="247"/>
      <c r="U337" s="247"/>
      <c r="V337" s="247"/>
      <c r="W337" s="247"/>
      <c r="X337" s="247"/>
    </row>
    <row r="338" spans="1:24" ht="12.75">
      <c r="A338" s="312" t="s">
        <v>418</v>
      </c>
      <c r="B338" s="387" t="s">
        <v>469</v>
      </c>
      <c r="C338" s="387" t="s">
        <v>470</v>
      </c>
      <c r="D338" s="389">
        <v>2000</v>
      </c>
      <c r="E338" s="390">
        <v>2001</v>
      </c>
      <c r="F338" s="390">
        <v>2002</v>
      </c>
      <c r="G338" s="390">
        <v>2003</v>
      </c>
      <c r="H338" s="390">
        <v>2004</v>
      </c>
      <c r="I338" s="390">
        <v>2005</v>
      </c>
      <c r="J338" s="390">
        <v>2006</v>
      </c>
      <c r="K338" s="390">
        <v>2007</v>
      </c>
      <c r="L338" s="390">
        <v>2008</v>
      </c>
      <c r="M338" s="390">
        <v>2009</v>
      </c>
      <c r="N338" s="391">
        <v>2010</v>
      </c>
      <c r="O338" s="248">
        <v>2011</v>
      </c>
      <c r="P338" s="248">
        <v>2012</v>
      </c>
      <c r="Q338" s="248">
        <v>2013</v>
      </c>
      <c r="R338" s="248">
        <v>2014</v>
      </c>
      <c r="S338" s="248">
        <v>2015</v>
      </c>
      <c r="T338" s="248">
        <v>2016</v>
      </c>
      <c r="U338" s="248">
        <v>2017</v>
      </c>
      <c r="V338" s="248">
        <v>2018</v>
      </c>
      <c r="W338" s="248">
        <v>2019</v>
      </c>
      <c r="X338" s="248">
        <v>2020</v>
      </c>
    </row>
    <row r="339" spans="1:24" ht="12.75">
      <c r="A339" s="312" t="s">
        <v>419</v>
      </c>
      <c r="B339" s="388">
        <f>NPV(0.1,D339:Y339)</f>
        <v>452357.44599450356</v>
      </c>
      <c r="C339" s="388">
        <f>B339-B329</f>
        <v>-7334.5613420066657</v>
      </c>
      <c r="D339" s="392">
        <v>32290.096840000002</v>
      </c>
      <c r="E339" s="393">
        <v>44601.274155699997</v>
      </c>
      <c r="F339" s="393">
        <v>44674.586790870999</v>
      </c>
      <c r="G339" s="393">
        <v>49471.010348241507</v>
      </c>
      <c r="H339" s="393">
        <v>54593.93065039668</v>
      </c>
      <c r="I339" s="393">
        <v>55097.242388069229</v>
      </c>
      <c r="J339" s="393">
        <v>55597.212749133774</v>
      </c>
      <c r="K339" s="393">
        <v>56745.313907707794</v>
      </c>
      <c r="L339" s="393">
        <v>57256.168694642816</v>
      </c>
      <c r="M339" s="393">
        <v>58454.038531582119</v>
      </c>
      <c r="N339" s="394">
        <v>58975.249172383854</v>
      </c>
      <c r="O339" s="252">
        <v>60224.691423655378</v>
      </c>
      <c r="P339" s="252">
        <v>60755.62459798246</v>
      </c>
      <c r="Q339" s="252">
        <v>61279.805997204858</v>
      </c>
      <c r="R339" s="252">
        <v>61796.352674959438</v>
      </c>
      <c r="S339" s="252">
        <v>62304.334784698789</v>
      </c>
      <c r="T339" s="252">
        <v>62802.773560332047</v>
      </c>
      <c r="U339" s="252">
        <v>63290.639217914082</v>
      </c>
      <c r="V339" s="252">
        <v>63766.848775463717</v>
      </c>
      <c r="W339" s="252">
        <v>64230.263787887226</v>
      </c>
      <c r="X339" s="252">
        <v>46155.152597068576</v>
      </c>
    </row>
    <row r="340" spans="1:24" ht="12.75">
      <c r="A340" s="313" t="s">
        <v>420</v>
      </c>
      <c r="B340" s="388">
        <f>NPV(0.1,D340:Y340)</f>
        <v>202970.18237614169</v>
      </c>
      <c r="C340" s="388">
        <f>B340-B330</f>
        <v>-1.1728874770342372</v>
      </c>
      <c r="D340" s="392">
        <v>21687.77447240123</v>
      </c>
      <c r="E340" s="393">
        <v>22845.366049969474</v>
      </c>
      <c r="F340" s="393">
        <v>22968.708312471892</v>
      </c>
      <c r="G340" s="393">
        <v>23152.951107844372</v>
      </c>
      <c r="H340" s="393">
        <v>23357.402703740558</v>
      </c>
      <c r="I340" s="393">
        <v>23510.20534237046</v>
      </c>
      <c r="J340" s="393">
        <v>23668.966969225177</v>
      </c>
      <c r="K340" s="393">
        <v>23832.88342332036</v>
      </c>
      <c r="L340" s="393">
        <v>24002.135555434837</v>
      </c>
      <c r="M340" s="393">
        <v>24176.857229947571</v>
      </c>
      <c r="N340" s="394">
        <v>24357.238739092125</v>
      </c>
      <c r="O340" s="252">
        <v>24543.423671945839</v>
      </c>
      <c r="P340" s="252">
        <v>24735.612337181607</v>
      </c>
      <c r="Q340" s="252">
        <v>24933.958640809269</v>
      </c>
      <c r="R340" s="252">
        <v>25138.673517942207</v>
      </c>
      <c r="S340" s="252">
        <v>25353.742984671178</v>
      </c>
      <c r="T340" s="252">
        <v>25579.363431018875</v>
      </c>
      <c r="U340" s="252">
        <v>25811.928883202134</v>
      </c>
      <c r="V340" s="252">
        <v>26051.647691396021</v>
      </c>
      <c r="W340" s="252">
        <v>26298.734456280847</v>
      </c>
      <c r="X340" s="252">
        <v>9386.5584865573528</v>
      </c>
    </row>
    <row r="341" spans="1:24" ht="12.75">
      <c r="A341" s="313" t="s">
        <v>35</v>
      </c>
      <c r="B341" s="388">
        <f>NPV(0.1,D341:Y341)</f>
        <v>86068.885835680121</v>
      </c>
      <c r="C341" s="388">
        <f>B341-B331</f>
        <v>-2984.6784388357337</v>
      </c>
      <c r="D341" s="392">
        <v>1604.5410401124007</v>
      </c>
      <c r="E341" s="393">
        <v>3665.7678441115954</v>
      </c>
      <c r="F341" s="393">
        <v>3912.386540222536</v>
      </c>
      <c r="G341" s="393">
        <v>6993.8617446392982</v>
      </c>
      <c r="H341" s="393">
        <v>9999.2157182073352</v>
      </c>
      <c r="I341" s="393">
        <v>10489.468750562683</v>
      </c>
      <c r="J341" s="393">
        <v>10991.36590478269</v>
      </c>
      <c r="K341" s="393">
        <v>11753.504604953483</v>
      </c>
      <c r="L341" s="393">
        <v>12159.844068396125</v>
      </c>
      <c r="M341" s="393">
        <v>13000.245658908781</v>
      </c>
      <c r="N341" s="394">
        <v>13465.976070254683</v>
      </c>
      <c r="O341" s="252">
        <v>14395.228664064913</v>
      </c>
      <c r="P341" s="252">
        <v>14930.268218054287</v>
      </c>
      <c r="Q341" s="252">
        <v>15490.416930171516</v>
      </c>
      <c r="R341" s="252">
        <v>16077.400258678916</v>
      </c>
      <c r="S341" s="252">
        <v>16690.805838624041</v>
      </c>
      <c r="T341" s="252">
        <v>17332.590718691499</v>
      </c>
      <c r="U341" s="252">
        <v>18007.168026366966</v>
      </c>
      <c r="V341" s="252">
        <v>18716.893332352214</v>
      </c>
      <c r="W341" s="252">
        <v>19464.311124283166</v>
      </c>
      <c r="X341" s="252">
        <v>19454.724547650581</v>
      </c>
    </row>
    <row r="342" spans="1:24" ht="12.75">
      <c r="A342" s="313" t="s">
        <v>32</v>
      </c>
      <c r="B342" s="388">
        <f>NPV(0.1,D342:Y342)</f>
        <v>96543.443413431683</v>
      </c>
      <c r="C342" s="388">
        <f>B342-B332</f>
        <v>-2508.1861306229985</v>
      </c>
      <c r="D342" s="395">
        <v>2786.2688067331628</v>
      </c>
      <c r="E342" s="396">
        <v>5292.5430295671367</v>
      </c>
      <c r="F342" s="396">
        <v>5280.3723606105559</v>
      </c>
      <c r="G342" s="396">
        <v>16119.811284743248</v>
      </c>
      <c r="H342" s="396">
        <v>16280.864223957242</v>
      </c>
      <c r="I342" s="396">
        <v>14233.395427828425</v>
      </c>
      <c r="J342" s="396">
        <v>13899.842061939045</v>
      </c>
      <c r="K342" s="396">
        <v>13992.989070975431</v>
      </c>
      <c r="L342" s="396">
        <v>13921.063933258027</v>
      </c>
      <c r="M342" s="396">
        <v>13985.107946073624</v>
      </c>
      <c r="N342" s="397">
        <v>13872.513391216267</v>
      </c>
      <c r="O342" s="252">
        <v>13900.990141420911</v>
      </c>
      <c r="P342" s="252">
        <v>13740.210513448668</v>
      </c>
      <c r="Q342" s="252">
        <v>13566.824669044163</v>
      </c>
      <c r="R342" s="252">
        <v>13354.405599899133</v>
      </c>
      <c r="S342" s="252">
        <v>11305.208339817247</v>
      </c>
      <c r="T342" s="252">
        <v>9224.4962783942428</v>
      </c>
      <c r="U342" s="252">
        <v>8924.3155421733136</v>
      </c>
      <c r="V342" s="252">
        <v>8588.8259431676724</v>
      </c>
      <c r="W342" s="252">
        <v>8215.4766384352897</v>
      </c>
      <c r="X342" s="252">
        <v>22217.104629064335</v>
      </c>
    </row>
    <row r="344" spans="1:24">
      <c r="A344" s="292" t="s">
        <v>617</v>
      </c>
    </row>
    <row r="345" spans="1:24">
      <c r="A345" s="333">
        <v>36285</v>
      </c>
    </row>
    <row r="346" spans="1:24" ht="12.75">
      <c r="A346" s="308" t="s">
        <v>416</v>
      </c>
      <c r="B346" s="309">
        <v>68450.180503841053</v>
      </c>
      <c r="C346" s="247"/>
      <c r="D346" s="247"/>
      <c r="E346" s="247"/>
      <c r="F346" s="247"/>
      <c r="G346" s="247"/>
      <c r="H346" s="247"/>
      <c r="I346" s="247"/>
      <c r="J346" s="247"/>
      <c r="K346" s="247"/>
      <c r="L346" s="247"/>
      <c r="M346" s="247"/>
      <c r="N346" s="247"/>
      <c r="O346" s="247"/>
      <c r="P346" s="247"/>
      <c r="Q346" s="247"/>
      <c r="R346" s="247"/>
      <c r="S346" s="247"/>
      <c r="T346" s="247"/>
      <c r="U346" s="247"/>
      <c r="V346" s="247"/>
      <c r="W346" s="247"/>
      <c r="X346" s="247"/>
    </row>
    <row r="347" spans="1:24" ht="12.75">
      <c r="A347" s="310" t="s">
        <v>417</v>
      </c>
      <c r="B347" s="311">
        <v>103994.84029196654</v>
      </c>
      <c r="C347" s="247"/>
      <c r="D347" s="247"/>
      <c r="E347" s="247"/>
      <c r="F347" s="247"/>
      <c r="G347" s="247"/>
      <c r="H347" s="247"/>
      <c r="I347" s="247"/>
      <c r="J347" s="247"/>
      <c r="K347" s="247"/>
      <c r="L347" s="247"/>
      <c r="M347" s="247"/>
      <c r="N347" s="247"/>
      <c r="O347" s="247"/>
      <c r="P347" s="247"/>
      <c r="Q347" s="247"/>
      <c r="R347" s="247"/>
      <c r="S347" s="247"/>
      <c r="T347" s="247"/>
      <c r="U347" s="247"/>
      <c r="V347" s="247"/>
      <c r="W347" s="247"/>
      <c r="X347" s="247"/>
    </row>
    <row r="348" spans="1:24" ht="12.75">
      <c r="A348" s="312" t="s">
        <v>418</v>
      </c>
      <c r="B348" s="387" t="s">
        <v>469</v>
      </c>
      <c r="C348" s="387" t="s">
        <v>470</v>
      </c>
      <c r="D348" s="389">
        <v>2000</v>
      </c>
      <c r="E348" s="390">
        <v>2001</v>
      </c>
      <c r="F348" s="390">
        <v>2002</v>
      </c>
      <c r="G348" s="390">
        <v>2003</v>
      </c>
      <c r="H348" s="390">
        <v>2004</v>
      </c>
      <c r="I348" s="390">
        <v>2005</v>
      </c>
      <c r="J348" s="390">
        <v>2006</v>
      </c>
      <c r="K348" s="390">
        <v>2007</v>
      </c>
      <c r="L348" s="390">
        <v>2008</v>
      </c>
      <c r="M348" s="390">
        <v>2009</v>
      </c>
      <c r="N348" s="391">
        <v>2010</v>
      </c>
      <c r="O348" s="248">
        <v>2011</v>
      </c>
      <c r="P348" s="248">
        <v>2012</v>
      </c>
      <c r="Q348" s="248">
        <v>2013</v>
      </c>
      <c r="R348" s="248">
        <v>2014</v>
      </c>
      <c r="S348" s="248">
        <v>2015</v>
      </c>
      <c r="T348" s="248">
        <v>2016</v>
      </c>
      <c r="U348" s="248">
        <v>2017</v>
      </c>
      <c r="V348" s="248">
        <v>2018</v>
      </c>
      <c r="W348" s="248">
        <v>2019</v>
      </c>
      <c r="X348" s="248">
        <v>2020</v>
      </c>
    </row>
    <row r="349" spans="1:24" ht="12.75">
      <c r="A349" s="312" t="s">
        <v>419</v>
      </c>
      <c r="B349" s="388">
        <f>NPV(0.1,D349:Y349)</f>
        <v>452414.49364691443</v>
      </c>
      <c r="C349" s="388">
        <f>B349-B339</f>
        <v>57.047652410867158</v>
      </c>
      <c r="D349" s="392">
        <v>32296.692940000004</v>
      </c>
      <c r="E349" s="393">
        <v>44607.8702557</v>
      </c>
      <c r="F349" s="393">
        <v>44681.182890871001</v>
      </c>
      <c r="G349" s="393">
        <v>49477.606448241502</v>
      </c>
      <c r="H349" s="393">
        <v>54600.526750396675</v>
      </c>
      <c r="I349" s="393">
        <v>55103.838488069232</v>
      </c>
      <c r="J349" s="393">
        <v>55603.808849133777</v>
      </c>
      <c r="K349" s="393">
        <v>56751.910007707796</v>
      </c>
      <c r="L349" s="393">
        <v>57262.764794642819</v>
      </c>
      <c r="M349" s="393">
        <v>58460.634631582114</v>
      </c>
      <c r="N349" s="394">
        <v>58981.845272383856</v>
      </c>
      <c r="O349" s="252">
        <v>60231.287523655381</v>
      </c>
      <c r="P349" s="252">
        <v>60762.220697982455</v>
      </c>
      <c r="Q349" s="252">
        <v>61286.40209720486</v>
      </c>
      <c r="R349" s="252">
        <v>61802.948774959441</v>
      </c>
      <c r="S349" s="252">
        <v>62310.930884698784</v>
      </c>
      <c r="T349" s="252">
        <v>62809.369660332042</v>
      </c>
      <c r="U349" s="252">
        <v>63297.235317914085</v>
      </c>
      <c r="V349" s="252">
        <v>63773.44487546372</v>
      </c>
      <c r="W349" s="252">
        <v>64236.859887887229</v>
      </c>
      <c r="X349" s="252">
        <v>46161.748697068579</v>
      </c>
    </row>
    <row r="350" spans="1:24" ht="12.75">
      <c r="A350" s="313" t="s">
        <v>420</v>
      </c>
      <c r="B350" s="388">
        <f>NPV(0.1,D350:Y350)</f>
        <v>203027.23002855253</v>
      </c>
      <c r="C350" s="388">
        <f>B350-B340</f>
        <v>57.047652410838054</v>
      </c>
      <c r="D350" s="392">
        <v>21694.370572401232</v>
      </c>
      <c r="E350" s="393">
        <v>22851.962149969477</v>
      </c>
      <c r="F350" s="393">
        <v>22975.304412471891</v>
      </c>
      <c r="G350" s="393">
        <v>23159.547207844374</v>
      </c>
      <c r="H350" s="393">
        <v>23363.998803740556</v>
      </c>
      <c r="I350" s="393">
        <v>23516.801442370459</v>
      </c>
      <c r="J350" s="393">
        <v>23675.56306922518</v>
      </c>
      <c r="K350" s="393">
        <v>23839.479523320359</v>
      </c>
      <c r="L350" s="393">
        <v>24008.731655434836</v>
      </c>
      <c r="M350" s="393">
        <v>24183.453329947573</v>
      </c>
      <c r="N350" s="394">
        <v>24363.834839092127</v>
      </c>
      <c r="O350" s="252">
        <v>24550.019771945841</v>
      </c>
      <c r="P350" s="252">
        <v>24742.208437181609</v>
      </c>
      <c r="Q350" s="252">
        <v>24940.554740809268</v>
      </c>
      <c r="R350" s="252">
        <v>25145.269617942206</v>
      </c>
      <c r="S350" s="252">
        <v>25360.339084671177</v>
      </c>
      <c r="T350" s="252">
        <v>25585.959531018878</v>
      </c>
      <c r="U350" s="252">
        <v>25818.524983202133</v>
      </c>
      <c r="V350" s="252">
        <v>26058.24379139602</v>
      </c>
      <c r="W350" s="252">
        <v>26305.330556280849</v>
      </c>
      <c r="X350" s="252">
        <v>9393.1545865573516</v>
      </c>
    </row>
    <row r="351" spans="1:24" ht="12.75">
      <c r="A351" s="313" t="s">
        <v>35</v>
      </c>
      <c r="B351" s="388">
        <f>NPV(0.1,D351:Y351)</f>
        <v>86068.885835680121</v>
      </c>
      <c r="C351" s="388">
        <f>B351-B341</f>
        <v>0</v>
      </c>
      <c r="D351" s="392">
        <v>1604.5410401124007</v>
      </c>
      <c r="E351" s="393">
        <v>3665.7678441115945</v>
      </c>
      <c r="F351" s="393">
        <v>3912.3865402225383</v>
      </c>
      <c r="G351" s="393">
        <v>6993.8617446392936</v>
      </c>
      <c r="H351" s="393">
        <v>9999.2157182073315</v>
      </c>
      <c r="I351" s="393">
        <v>10489.468750562688</v>
      </c>
      <c r="J351" s="393">
        <v>10991.36590478269</v>
      </c>
      <c r="K351" s="393">
        <v>11753.504604953489</v>
      </c>
      <c r="L351" s="393">
        <v>12159.844068396125</v>
      </c>
      <c r="M351" s="393">
        <v>13000.245658908778</v>
      </c>
      <c r="N351" s="394">
        <v>13465.976070254683</v>
      </c>
      <c r="O351" s="252">
        <v>14395.228664064913</v>
      </c>
      <c r="P351" s="252">
        <v>14930.268218054283</v>
      </c>
      <c r="Q351" s="252">
        <v>15490.416930171516</v>
      </c>
      <c r="R351" s="252">
        <v>16077.400258678916</v>
      </c>
      <c r="S351" s="252">
        <v>16690.805838624037</v>
      </c>
      <c r="T351" s="252">
        <v>17332.590718691499</v>
      </c>
      <c r="U351" s="252">
        <v>18007.16802636697</v>
      </c>
      <c r="V351" s="252">
        <v>18716.893332352214</v>
      </c>
      <c r="W351" s="252">
        <v>19464.311124283166</v>
      </c>
      <c r="X351" s="252">
        <v>19454.724547650585</v>
      </c>
    </row>
    <row r="352" spans="1:24" ht="12.75">
      <c r="A352" s="313" t="s">
        <v>32</v>
      </c>
      <c r="B352" s="388">
        <f>NPV(0.1,D352:Y352)</f>
        <v>96543.443413431698</v>
      </c>
      <c r="C352" s="388">
        <f>B352-B342</f>
        <v>0</v>
      </c>
      <c r="D352" s="395">
        <v>2786.2688067331628</v>
      </c>
      <c r="E352" s="396">
        <v>5292.5430295671349</v>
      </c>
      <c r="F352" s="396">
        <v>5280.3723606105523</v>
      </c>
      <c r="G352" s="396">
        <v>16119.811284743242</v>
      </c>
      <c r="H352" s="396">
        <v>16280.864223957238</v>
      </c>
      <c r="I352" s="396">
        <v>14233.395427828431</v>
      </c>
      <c r="J352" s="396">
        <v>13899.842061939045</v>
      </c>
      <c r="K352" s="396">
        <v>13992.989070975431</v>
      </c>
      <c r="L352" s="396">
        <v>13921.063933258027</v>
      </c>
      <c r="M352" s="396">
        <v>13985.107946073622</v>
      </c>
      <c r="N352" s="397">
        <v>13872.513391216267</v>
      </c>
      <c r="O352" s="252">
        <v>13900.990141420911</v>
      </c>
      <c r="P352" s="252">
        <v>13740.210513448656</v>
      </c>
      <c r="Q352" s="252">
        <v>13566.824669044163</v>
      </c>
      <c r="R352" s="252">
        <v>13354.405599899133</v>
      </c>
      <c r="S352" s="252">
        <v>11305.208339817249</v>
      </c>
      <c r="T352" s="252">
        <v>9224.4962783942428</v>
      </c>
      <c r="U352" s="252">
        <v>8924.315542173319</v>
      </c>
      <c r="V352" s="252">
        <v>8588.8259431676761</v>
      </c>
      <c r="W352" s="252">
        <v>8215.4766384352879</v>
      </c>
      <c r="X352" s="252">
        <v>22217.104629064339</v>
      </c>
    </row>
    <row r="354" spans="1:24">
      <c r="A354" s="292" t="s">
        <v>618</v>
      </c>
    </row>
    <row r="355" spans="1:24">
      <c r="A355" s="333">
        <v>36285</v>
      </c>
    </row>
    <row r="356" spans="1:24" ht="12.75">
      <c r="A356" s="308" t="s">
        <v>416</v>
      </c>
      <c r="B356" s="309">
        <v>68406.903428942867</v>
      </c>
      <c r="C356" s="247"/>
      <c r="D356" s="247"/>
      <c r="E356" s="247"/>
      <c r="F356" s="247"/>
      <c r="G356" s="247"/>
      <c r="H356" s="247"/>
      <c r="I356" s="247"/>
      <c r="J356" s="247"/>
      <c r="K356" s="247"/>
      <c r="L356" s="247"/>
      <c r="M356" s="247"/>
      <c r="N356" s="247"/>
      <c r="O356" s="247"/>
      <c r="P356" s="247"/>
      <c r="Q356" s="247"/>
      <c r="R356" s="247"/>
      <c r="S356" s="247"/>
      <c r="T356" s="247"/>
      <c r="U356" s="247"/>
      <c r="V356" s="247"/>
      <c r="W356" s="247"/>
      <c r="X356" s="247"/>
    </row>
    <row r="357" spans="1:24" ht="12.75">
      <c r="A357" s="310" t="s">
        <v>417</v>
      </c>
      <c r="B357" s="311">
        <v>103960.43043727189</v>
      </c>
      <c r="C357" s="247"/>
      <c r="D357" s="247"/>
      <c r="E357" s="247"/>
      <c r="F357" s="247"/>
      <c r="G357" s="247"/>
      <c r="H357" s="247"/>
      <c r="I357" s="247"/>
      <c r="J357" s="247"/>
      <c r="K357" s="247"/>
      <c r="L357" s="247"/>
      <c r="M357" s="247"/>
      <c r="N357" s="247"/>
      <c r="O357" s="247"/>
      <c r="P357" s="247"/>
      <c r="Q357" s="247"/>
      <c r="R357" s="247"/>
      <c r="S357" s="247"/>
      <c r="T357" s="247"/>
      <c r="U357" s="247"/>
      <c r="V357" s="247"/>
      <c r="W357" s="247"/>
      <c r="X357" s="247"/>
    </row>
    <row r="358" spans="1:24" ht="12.75">
      <c r="A358" s="312" t="s">
        <v>418</v>
      </c>
      <c r="B358" s="387" t="s">
        <v>469</v>
      </c>
      <c r="C358" s="387" t="s">
        <v>470</v>
      </c>
      <c r="D358" s="389">
        <v>2000</v>
      </c>
      <c r="E358" s="390">
        <v>2001</v>
      </c>
      <c r="F358" s="390">
        <v>2002</v>
      </c>
      <c r="G358" s="390">
        <v>2003</v>
      </c>
      <c r="H358" s="390">
        <v>2004</v>
      </c>
      <c r="I358" s="390">
        <v>2005</v>
      </c>
      <c r="J358" s="390">
        <v>2006</v>
      </c>
      <c r="K358" s="390">
        <v>2007</v>
      </c>
      <c r="L358" s="390">
        <v>2008</v>
      </c>
      <c r="M358" s="390">
        <v>2009</v>
      </c>
      <c r="N358" s="391">
        <v>2010</v>
      </c>
      <c r="O358" s="248">
        <v>2011</v>
      </c>
      <c r="P358" s="248">
        <v>2012</v>
      </c>
      <c r="Q358" s="248">
        <v>2013</v>
      </c>
      <c r="R358" s="248">
        <v>2014</v>
      </c>
      <c r="S358" s="248">
        <v>2015</v>
      </c>
      <c r="T358" s="248">
        <v>2016</v>
      </c>
      <c r="U358" s="248">
        <v>2017</v>
      </c>
      <c r="V358" s="248">
        <v>2018</v>
      </c>
      <c r="W358" s="248">
        <v>2019</v>
      </c>
      <c r="X358" s="248">
        <v>2020</v>
      </c>
    </row>
    <row r="359" spans="1:24" ht="12.75">
      <c r="A359" s="312" t="s">
        <v>419</v>
      </c>
      <c r="B359" s="388">
        <f>NPV(0.1,D359:Y359)</f>
        <v>452414.49364691443</v>
      </c>
      <c r="C359" s="388">
        <f>B359-B349</f>
        <v>0</v>
      </c>
      <c r="D359" s="392">
        <v>32296.692940000004</v>
      </c>
      <c r="E359" s="393">
        <v>44607.8702557</v>
      </c>
      <c r="F359" s="393">
        <v>44681.182890871001</v>
      </c>
      <c r="G359" s="393">
        <v>49477.606448241502</v>
      </c>
      <c r="H359" s="393">
        <v>54600.526750396675</v>
      </c>
      <c r="I359" s="393">
        <v>55103.838488069232</v>
      </c>
      <c r="J359" s="393">
        <v>55603.808849133777</v>
      </c>
      <c r="K359" s="393">
        <v>56751.910007707796</v>
      </c>
      <c r="L359" s="393">
        <v>57262.764794642819</v>
      </c>
      <c r="M359" s="393">
        <v>58460.634631582114</v>
      </c>
      <c r="N359" s="394">
        <v>58981.845272383856</v>
      </c>
      <c r="O359" s="252">
        <v>60231.287523655381</v>
      </c>
      <c r="P359" s="252">
        <v>60762.220697982455</v>
      </c>
      <c r="Q359" s="252">
        <v>61286.40209720486</v>
      </c>
      <c r="R359" s="252">
        <v>61802.948774959441</v>
      </c>
      <c r="S359" s="252">
        <v>62310.930884698784</v>
      </c>
      <c r="T359" s="252">
        <v>62809.369660332042</v>
      </c>
      <c r="U359" s="252">
        <v>63297.235317914085</v>
      </c>
      <c r="V359" s="252">
        <v>63773.44487546372</v>
      </c>
      <c r="W359" s="252">
        <v>64236.859887887229</v>
      </c>
      <c r="X359" s="252">
        <v>46161.748697068579</v>
      </c>
    </row>
    <row r="360" spans="1:24" ht="12.75">
      <c r="A360" s="313" t="s">
        <v>420</v>
      </c>
      <c r="B360" s="388">
        <f>NPV(0.1,D360:Y360)</f>
        <v>203033.16558821965</v>
      </c>
      <c r="C360" s="388">
        <f>B360-B350</f>
        <v>5.935559667123016</v>
      </c>
      <c r="D360" s="392">
        <v>21694.970472188452</v>
      </c>
      <c r="E360" s="393">
        <v>22852.583952085213</v>
      </c>
      <c r="F360" s="393">
        <v>22975.948150959553</v>
      </c>
      <c r="G360" s="393">
        <v>23160.212919066391</v>
      </c>
      <c r="H360" s="393">
        <v>23364.735228954669</v>
      </c>
      <c r="I360" s="393">
        <v>23517.551619638318</v>
      </c>
      <c r="J360" s="393">
        <v>23676.306792666648</v>
      </c>
      <c r="K360" s="393">
        <v>23840.216786689383</v>
      </c>
      <c r="L360" s="393">
        <v>24009.462464977474</v>
      </c>
      <c r="M360" s="393">
        <v>24184.177679417764</v>
      </c>
      <c r="N360" s="394">
        <v>24364.552734735931</v>
      </c>
      <c r="O360" s="252">
        <v>24550.731207517201</v>
      </c>
      <c r="P360" s="252">
        <v>24742.913418926579</v>
      </c>
      <c r="Q360" s="252">
        <v>24941.25326248179</v>
      </c>
      <c r="R360" s="252">
        <v>25145.961685788341</v>
      </c>
      <c r="S360" s="252">
        <v>25361.026541277595</v>
      </c>
      <c r="T360" s="252">
        <v>25586.644218972251</v>
      </c>
      <c r="U360" s="252">
        <v>25819.206902502458</v>
      </c>
      <c r="V360" s="252">
        <v>26058.9229420433</v>
      </c>
      <c r="W360" s="252">
        <v>26306.006938275081</v>
      </c>
      <c r="X360" s="252">
        <v>9393.8281998985403</v>
      </c>
    </row>
    <row r="361" spans="1:24" ht="12.75">
      <c r="A361" s="313" t="s">
        <v>35</v>
      </c>
      <c r="B361" s="388">
        <f>NPV(0.1,D361:Y361)</f>
        <v>86097.303566507471</v>
      </c>
      <c r="C361" s="388">
        <f>B361-B351</f>
        <v>28.417730827350169</v>
      </c>
      <c r="D361" s="392">
        <v>1609.397436389354</v>
      </c>
      <c r="E361" s="393">
        <v>3675.8146034337738</v>
      </c>
      <c r="F361" s="393">
        <v>3922.4093468074375</v>
      </c>
      <c r="G361" s="393">
        <v>7003.8589668385175</v>
      </c>
      <c r="H361" s="393">
        <v>10009.167462734717</v>
      </c>
      <c r="I361" s="393">
        <v>10493.611075944711</v>
      </c>
      <c r="J361" s="393">
        <v>10989.710401465683</v>
      </c>
      <c r="K361" s="393">
        <v>11751.847768016949</v>
      </c>
      <c r="L361" s="393">
        <v>12158.185598600274</v>
      </c>
      <c r="M361" s="393">
        <v>12998.585240800301</v>
      </c>
      <c r="N361" s="394">
        <v>13464.313355418346</v>
      </c>
      <c r="O361" s="252">
        <v>14393.563283937905</v>
      </c>
      <c r="P361" s="252">
        <v>14928.599766863148</v>
      </c>
      <c r="Q361" s="252">
        <v>15488.744977406534</v>
      </c>
      <c r="R361" s="252">
        <v>16075.724331663967</v>
      </c>
      <c r="S361" s="252">
        <v>16689.124318214457</v>
      </c>
      <c r="T361" s="252">
        <v>17330.9019100558</v>
      </c>
      <c r="U361" s="252">
        <v>18005.471265540447</v>
      </c>
      <c r="V361" s="252">
        <v>18715.187902252994</v>
      </c>
      <c r="W361" s="252">
        <v>19462.596250462811</v>
      </c>
      <c r="X361" s="252">
        <v>19452.999393704777</v>
      </c>
    </row>
    <row r="362" spans="1:24" ht="12.75">
      <c r="A362" s="313" t="s">
        <v>32</v>
      </c>
      <c r="B362" s="388">
        <f>NPV(0.1,D362:Y362)</f>
        <v>96532.315609184341</v>
      </c>
      <c r="C362" s="388">
        <f>B362-B352</f>
        <v>-11.127804247356835</v>
      </c>
      <c r="D362" s="395">
        <v>2786.6524439733876</v>
      </c>
      <c r="E362" s="396">
        <v>5292.3917642447523</v>
      </c>
      <c r="F362" s="396">
        <v>5280.2157588438413</v>
      </c>
      <c r="G362" s="396">
        <v>16119.403536619759</v>
      </c>
      <c r="H362" s="396">
        <v>16257.233819947978</v>
      </c>
      <c r="I362" s="396">
        <v>14231.093132524526</v>
      </c>
      <c r="J362" s="396">
        <v>13901.369522195831</v>
      </c>
      <c r="K362" s="396">
        <v>13994.524364929342</v>
      </c>
      <c r="L362" s="396">
        <v>13922.601310982765</v>
      </c>
      <c r="M362" s="396">
        <v>13986.65357351813</v>
      </c>
      <c r="N362" s="397">
        <v>13874.061551736058</v>
      </c>
      <c r="O362" s="252">
        <v>13902.547036909271</v>
      </c>
      <c r="P362" s="252">
        <v>13741.770466081023</v>
      </c>
      <c r="Q362" s="252">
        <v>13568.393922639312</v>
      </c>
      <c r="R362" s="252">
        <v>13355.978521912035</v>
      </c>
      <c r="S362" s="252">
        <v>11305.910449584577</v>
      </c>
      <c r="T362" s="252">
        <v>9224.3275943890767</v>
      </c>
      <c r="U362" s="252">
        <v>8924.1539359895542</v>
      </c>
      <c r="V362" s="252">
        <v>8588.6719001244091</v>
      </c>
      <c r="W362" s="252">
        <v>8215.3306826771404</v>
      </c>
      <c r="X362" s="252">
        <v>22216.697881331027</v>
      </c>
    </row>
    <row r="364" spans="1:24">
      <c r="A364" s="292" t="s">
        <v>619</v>
      </c>
    </row>
    <row r="365" spans="1:24">
      <c r="A365" s="333">
        <v>36285</v>
      </c>
    </row>
    <row r="366" spans="1:24" ht="12.75">
      <c r="A366" s="308" t="s">
        <v>416</v>
      </c>
      <c r="B366" s="309">
        <v>68412.669000223061</v>
      </c>
      <c r="C366" s="247"/>
      <c r="D366" s="247"/>
      <c r="E366" s="247"/>
      <c r="F366" s="247"/>
      <c r="G366" s="247"/>
      <c r="H366" s="247"/>
      <c r="I366" s="247"/>
      <c r="J366" s="247"/>
      <c r="K366" s="247"/>
      <c r="L366" s="247"/>
      <c r="M366" s="247"/>
      <c r="N366" s="247"/>
      <c r="O366" s="247"/>
      <c r="P366" s="247"/>
      <c r="Q366" s="247"/>
      <c r="R366" s="247"/>
      <c r="S366" s="247"/>
      <c r="T366" s="247"/>
      <c r="U366" s="247"/>
      <c r="V366" s="247"/>
      <c r="W366" s="247"/>
      <c r="X366" s="247"/>
    </row>
    <row r="367" spans="1:24" ht="12.75">
      <c r="A367" s="310" t="s">
        <v>417</v>
      </c>
      <c r="B367" s="311">
        <v>103968.19805180457</v>
      </c>
      <c r="C367" s="247"/>
      <c r="D367" s="247"/>
      <c r="E367" s="247"/>
      <c r="F367" s="247"/>
      <c r="G367" s="247"/>
      <c r="H367" s="247"/>
      <c r="I367" s="247"/>
      <c r="J367" s="247"/>
      <c r="K367" s="247"/>
      <c r="L367" s="247"/>
      <c r="M367" s="247"/>
      <c r="N367" s="247"/>
      <c r="O367" s="247"/>
      <c r="P367" s="247"/>
      <c r="Q367" s="247"/>
      <c r="R367" s="247"/>
      <c r="S367" s="247"/>
      <c r="T367" s="247"/>
      <c r="U367" s="247"/>
      <c r="V367" s="247"/>
      <c r="W367" s="247"/>
      <c r="X367" s="247"/>
    </row>
    <row r="368" spans="1:24" ht="12.75">
      <c r="A368" s="312" t="s">
        <v>418</v>
      </c>
      <c r="B368" s="387" t="s">
        <v>469</v>
      </c>
      <c r="C368" s="387" t="s">
        <v>470</v>
      </c>
      <c r="D368" s="389">
        <v>2000</v>
      </c>
      <c r="E368" s="390">
        <v>2001</v>
      </c>
      <c r="F368" s="390">
        <v>2002</v>
      </c>
      <c r="G368" s="390">
        <v>2003</v>
      </c>
      <c r="H368" s="390">
        <v>2004</v>
      </c>
      <c r="I368" s="390">
        <v>2005</v>
      </c>
      <c r="J368" s="390">
        <v>2006</v>
      </c>
      <c r="K368" s="390">
        <v>2007</v>
      </c>
      <c r="L368" s="390">
        <v>2008</v>
      </c>
      <c r="M368" s="390">
        <v>2009</v>
      </c>
      <c r="N368" s="391">
        <v>2010</v>
      </c>
      <c r="O368" s="248">
        <v>2011</v>
      </c>
      <c r="P368" s="248">
        <v>2012</v>
      </c>
      <c r="Q368" s="248">
        <v>2013</v>
      </c>
      <c r="R368" s="248">
        <v>2014</v>
      </c>
      <c r="S368" s="248">
        <v>2015</v>
      </c>
      <c r="T368" s="248">
        <v>2016</v>
      </c>
      <c r="U368" s="248">
        <v>2017</v>
      </c>
      <c r="V368" s="248">
        <v>2018</v>
      </c>
      <c r="W368" s="248">
        <v>2019</v>
      </c>
      <c r="X368" s="248">
        <v>2020</v>
      </c>
    </row>
    <row r="369" spans="1:24" ht="12.75">
      <c r="A369" s="312" t="s">
        <v>419</v>
      </c>
      <c r="B369" s="388">
        <f>NPV(0.1,D369:Y369)</f>
        <v>460539.87067209539</v>
      </c>
      <c r="C369" s="388">
        <f>B369-B359</f>
        <v>8125.3770251809619</v>
      </c>
      <c r="D369" s="392">
        <v>33056.462140000003</v>
      </c>
      <c r="E369" s="393">
        <v>45390.432531699997</v>
      </c>
      <c r="F369" s="393">
        <v>45487.222035150997</v>
      </c>
      <c r="G369" s="393">
        <v>50307.826766849903</v>
      </c>
      <c r="H369" s="393">
        <v>55455.653678563329</v>
      </c>
      <c r="I369" s="393">
        <v>55984.619224080881</v>
      </c>
      <c r="J369" s="393">
        <v>56511.013007225774</v>
      </c>
      <c r="K369" s="393">
        <v>57686.330290542559</v>
      </c>
      <c r="L369" s="393">
        <v>58225.21768596262</v>
      </c>
      <c r="M369" s="393">
        <v>59451.961109641517</v>
      </c>
      <c r="N369" s="394">
        <v>60002.911544785034</v>
      </c>
      <c r="O369" s="252">
        <v>61282.985784228593</v>
      </c>
      <c r="P369" s="252">
        <v>61845.469906372869</v>
      </c>
      <c r="Q369" s="252">
        <v>62402.148781846983</v>
      </c>
      <c r="R369" s="252">
        <v>62952.167860140828</v>
      </c>
      <c r="S369" s="252">
        <v>63494.626542435617</v>
      </c>
      <c r="T369" s="252">
        <v>64028.57618780098</v>
      </c>
      <c r="U369" s="252">
        <v>64553.018041207084</v>
      </c>
      <c r="V369" s="252">
        <v>65066.901080455515</v>
      </c>
      <c r="W369" s="252">
        <v>65569.11977902877</v>
      </c>
      <c r="X369" s="252">
        <v>47533.97638494437</v>
      </c>
    </row>
    <row r="370" spans="1:24" ht="12.75">
      <c r="A370" s="313" t="s">
        <v>420</v>
      </c>
      <c r="B370" s="388">
        <f>NPV(0.1,D370:Y370)</f>
        <v>211151.19733378498</v>
      </c>
      <c r="C370" s="388">
        <f>B370-B360</f>
        <v>8118.0317455653276</v>
      </c>
      <c r="D370" s="392">
        <v>22453.404394222005</v>
      </c>
      <c r="E370" s="393">
        <v>23633.826654907698</v>
      </c>
      <c r="F370" s="393">
        <v>23780.684679612452</v>
      </c>
      <c r="G370" s="393">
        <v>23988.490529039227</v>
      </c>
      <c r="H370" s="393">
        <v>24219.289389385987</v>
      </c>
      <c r="I370" s="393">
        <v>24397.842145914638</v>
      </c>
      <c r="J370" s="393">
        <v>24583.020741023316</v>
      </c>
      <c r="K370" s="393">
        <v>24774.146859788812</v>
      </c>
      <c r="L370" s="393">
        <v>24971.425146561945</v>
      </c>
      <c r="M370" s="393">
        <v>25175.013947741827</v>
      </c>
      <c r="N370" s="394">
        <v>25385.128797401772</v>
      </c>
      <c r="O370" s="252">
        <v>25601.93925835508</v>
      </c>
      <c r="P370" s="252">
        <v>25825.672417581656</v>
      </c>
      <c r="Q370" s="252">
        <v>26056.509737388584</v>
      </c>
      <c r="R370" s="252">
        <v>26294.690561234394</v>
      </c>
      <c r="S370" s="252">
        <v>26544.231989279091</v>
      </c>
      <c r="T370" s="252">
        <v>26805.360536705844</v>
      </c>
      <c r="U370" s="252">
        <v>27074.499416060124</v>
      </c>
      <c r="V370" s="252">
        <v>27351.888937299755</v>
      </c>
      <c r="W370" s="252">
        <v>27637.776619681292</v>
      </c>
      <c r="X370" s="252">
        <v>10765.578803038999</v>
      </c>
    </row>
    <row r="371" spans="1:24" ht="12.75">
      <c r="A371" s="313" t="s">
        <v>35</v>
      </c>
      <c r="B371" s="388">
        <f>NPV(0.1,D371:Y371)</f>
        <v>86100.973712710635</v>
      </c>
      <c r="C371" s="388">
        <f>B371-B361</f>
        <v>3.6701462031633127</v>
      </c>
      <c r="D371" s="392">
        <v>1610.0941264308219</v>
      </c>
      <c r="E371" s="393">
        <v>3676.4312000673922</v>
      </c>
      <c r="F371" s="393">
        <v>3923.0486533548174</v>
      </c>
      <c r="G371" s="393">
        <v>7004.919680616812</v>
      </c>
      <c r="H371" s="393">
        <v>10009.429052069332</v>
      </c>
      <c r="I371" s="393">
        <v>10493.827003821203</v>
      </c>
      <c r="J371" s="393">
        <v>10989.929278479583</v>
      </c>
      <c r="K371" s="393">
        <v>11752.069830099248</v>
      </c>
      <c r="L371" s="393">
        <v>12158.411100556441</v>
      </c>
      <c r="M371" s="393">
        <v>12998.814457820248</v>
      </c>
      <c r="N371" s="394">
        <v>13464.546584707172</v>
      </c>
      <c r="O371" s="252">
        <v>14393.800846477121</v>
      </c>
      <c r="P371" s="252">
        <v>14928.842009312788</v>
      </c>
      <c r="Q371" s="252">
        <v>15488.992274159424</v>
      </c>
      <c r="R371" s="252">
        <v>16075.977087064379</v>
      </c>
      <c r="S371" s="252">
        <v>16689.382968954189</v>
      </c>
      <c r="T371" s="252">
        <v>17331.166927762002</v>
      </c>
      <c r="U371" s="252">
        <v>18005.743159570426</v>
      </c>
      <c r="V371" s="252">
        <v>18715.467222712665</v>
      </c>
      <c r="W371" s="252">
        <v>19462.883591466525</v>
      </c>
      <c r="X371" s="252">
        <v>19453.287471631425</v>
      </c>
    </row>
    <row r="372" spans="1:24" ht="12.75">
      <c r="A372" s="313" t="s">
        <v>32</v>
      </c>
      <c r="B372" s="388">
        <f>NPV(0.1,D372:Y372)</f>
        <v>96533.466845420538</v>
      </c>
      <c r="C372" s="388">
        <f>B372-B362</f>
        <v>1.1512362361972919</v>
      </c>
      <c r="D372" s="395">
        <v>2786.9772760171472</v>
      </c>
      <c r="E372" s="396">
        <v>5292.7127757965873</v>
      </c>
      <c r="F372" s="396">
        <v>5280.5326451454348</v>
      </c>
      <c r="G372" s="396">
        <v>16120.593445659038</v>
      </c>
      <c r="H372" s="396">
        <v>16255.36819913223</v>
      </c>
      <c r="I372" s="396">
        <v>14231.247246579918</v>
      </c>
      <c r="J372" s="396">
        <v>13901.521640282937</v>
      </c>
      <c r="K372" s="396">
        <v>13994.674327370694</v>
      </c>
      <c r="L372" s="396">
        <v>13922.748945326723</v>
      </c>
      <c r="M372" s="396">
        <v>13986.798693516885</v>
      </c>
      <c r="N372" s="397">
        <v>13874.203956241994</v>
      </c>
      <c r="O372" s="252">
        <v>13902.686508682978</v>
      </c>
      <c r="P372" s="252">
        <v>13741.906770503911</v>
      </c>
      <c r="Q372" s="252">
        <v>13568.526806323312</v>
      </c>
      <c r="R372" s="252">
        <v>13356.107711198045</v>
      </c>
      <c r="S372" s="252">
        <v>11306.035648920753</v>
      </c>
      <c r="T372" s="252">
        <v>9224.4484845794268</v>
      </c>
      <c r="U372" s="252">
        <v>8924.2701723024147</v>
      </c>
      <c r="V372" s="252">
        <v>8588.7831102495911</v>
      </c>
      <c r="W372" s="252">
        <v>8215.4364645196238</v>
      </c>
      <c r="X372" s="252">
        <v>22216.985959257676</v>
      </c>
    </row>
    <row r="374" spans="1:24">
      <c r="A374" s="292" t="s">
        <v>620</v>
      </c>
    </row>
    <row r="375" spans="1:24">
      <c r="A375" s="333">
        <v>36285</v>
      </c>
    </row>
    <row r="376" spans="1:24" ht="12.75">
      <c r="A376" s="308" t="s">
        <v>416</v>
      </c>
      <c r="B376" s="309">
        <v>68676.460395316521</v>
      </c>
      <c r="C376" s="247"/>
      <c r="D376" s="247"/>
      <c r="E376" s="247"/>
      <c r="F376" s="247"/>
      <c r="G376" s="247"/>
      <c r="H376" s="247"/>
      <c r="I376" s="247"/>
      <c r="J376" s="247"/>
      <c r="K376" s="247"/>
      <c r="L376" s="247"/>
      <c r="M376" s="247"/>
      <c r="N376" s="247"/>
      <c r="O376" s="247"/>
      <c r="P376" s="247"/>
      <c r="Q376" s="247"/>
      <c r="R376" s="247"/>
      <c r="S376" s="247"/>
      <c r="T376" s="247"/>
      <c r="U376" s="247"/>
      <c r="V376" s="247"/>
      <c r="W376" s="247"/>
      <c r="X376" s="247"/>
    </row>
    <row r="377" spans="1:24" ht="12.75">
      <c r="A377" s="310" t="s">
        <v>417</v>
      </c>
      <c r="B377" s="311">
        <v>104297.72562675763</v>
      </c>
      <c r="C377" s="247"/>
      <c r="D377" s="247"/>
      <c r="E377" s="247"/>
      <c r="F377" s="247"/>
      <c r="G377" s="247"/>
      <c r="H377" s="247"/>
      <c r="I377" s="247"/>
      <c r="J377" s="247"/>
      <c r="K377" s="247"/>
      <c r="L377" s="247"/>
      <c r="M377" s="247"/>
      <c r="N377" s="247"/>
      <c r="O377" s="247"/>
      <c r="P377" s="247"/>
      <c r="Q377" s="247"/>
      <c r="R377" s="247"/>
      <c r="S377" s="247"/>
      <c r="T377" s="247"/>
      <c r="U377" s="247"/>
      <c r="V377" s="247"/>
      <c r="W377" s="247"/>
      <c r="X377" s="247"/>
    </row>
    <row r="378" spans="1:24" ht="12.75">
      <c r="A378" s="312" t="s">
        <v>418</v>
      </c>
      <c r="B378" s="387" t="s">
        <v>469</v>
      </c>
      <c r="C378" s="387" t="s">
        <v>470</v>
      </c>
      <c r="D378" s="389">
        <v>2000</v>
      </c>
      <c r="E378" s="390">
        <v>2001</v>
      </c>
      <c r="F378" s="390">
        <v>2002</v>
      </c>
      <c r="G378" s="390">
        <v>2003</v>
      </c>
      <c r="H378" s="390">
        <v>2004</v>
      </c>
      <c r="I378" s="390">
        <v>2005</v>
      </c>
      <c r="J378" s="390">
        <v>2006</v>
      </c>
      <c r="K378" s="390">
        <v>2007</v>
      </c>
      <c r="L378" s="390">
        <v>2008</v>
      </c>
      <c r="M378" s="390">
        <v>2009</v>
      </c>
      <c r="N378" s="391">
        <v>2010</v>
      </c>
      <c r="O378" s="248">
        <v>2011</v>
      </c>
      <c r="P378" s="248">
        <v>2012</v>
      </c>
      <c r="Q378" s="248">
        <v>2013</v>
      </c>
      <c r="R378" s="248">
        <v>2014</v>
      </c>
      <c r="S378" s="248">
        <v>2015</v>
      </c>
      <c r="T378" s="248">
        <v>2016</v>
      </c>
      <c r="U378" s="248">
        <v>2017</v>
      </c>
      <c r="V378" s="248">
        <v>2018</v>
      </c>
      <c r="W378" s="248">
        <v>2019</v>
      </c>
      <c r="X378" s="248">
        <v>2020</v>
      </c>
    </row>
    <row r="379" spans="1:24" ht="12.75">
      <c r="A379" s="312" t="s">
        <v>419</v>
      </c>
      <c r="B379" s="388">
        <f>NPV(0.1,D379:Y379)</f>
        <v>462924.91608807934</v>
      </c>
      <c r="C379" s="388">
        <f>B379-B369</f>
        <v>2385.0454159839428</v>
      </c>
      <c r="D379" s="392">
        <v>35096.462140000003</v>
      </c>
      <c r="E379" s="393">
        <v>45390.432531699997</v>
      </c>
      <c r="F379" s="393">
        <v>45487.222035150997</v>
      </c>
      <c r="G379" s="393">
        <v>51084.531760392041</v>
      </c>
      <c r="H379" s="393">
        <v>55455.653678563329</v>
      </c>
      <c r="I379" s="393">
        <v>55984.619224080881</v>
      </c>
      <c r="J379" s="393">
        <v>56511.013007225774</v>
      </c>
      <c r="K379" s="393">
        <v>57686.330290542559</v>
      </c>
      <c r="L379" s="393">
        <v>58225.21768596262</v>
      </c>
      <c r="M379" s="393">
        <v>59451.961109641517</v>
      </c>
      <c r="N379" s="394">
        <v>60002.911544785034</v>
      </c>
      <c r="O379" s="252">
        <v>61282.985784228593</v>
      </c>
      <c r="P379" s="252">
        <v>61845.469906372869</v>
      </c>
      <c r="Q379" s="252">
        <v>62402.148781846983</v>
      </c>
      <c r="R379" s="252">
        <v>62952.167860140828</v>
      </c>
      <c r="S379" s="252">
        <v>63494.626542435617</v>
      </c>
      <c r="T379" s="252">
        <v>64028.57618780098</v>
      </c>
      <c r="U379" s="252">
        <v>64553.018041207084</v>
      </c>
      <c r="V379" s="252">
        <v>65066.901080455515</v>
      </c>
      <c r="W379" s="252">
        <v>65569.11977902877</v>
      </c>
      <c r="X379" s="252">
        <v>47533.97638494437</v>
      </c>
    </row>
    <row r="380" spans="1:24" ht="12.75">
      <c r="A380" s="313" t="s">
        <v>420</v>
      </c>
      <c r="B380" s="388">
        <f>NPV(0.1,D380:Y380)</f>
        <v>211315.41927833846</v>
      </c>
      <c r="C380" s="388">
        <f>B380-B370</f>
        <v>164.22194455348654</v>
      </c>
      <c r="D380" s="392">
        <v>22626.398953045536</v>
      </c>
      <c r="E380" s="393">
        <v>23633.826654907698</v>
      </c>
      <c r="F380" s="393">
        <v>23780.684679612452</v>
      </c>
      <c r="G380" s="393">
        <v>23998.672120265888</v>
      </c>
      <c r="H380" s="393">
        <v>24219.289389385987</v>
      </c>
      <c r="I380" s="393">
        <v>24397.842145914638</v>
      </c>
      <c r="J380" s="393">
        <v>24583.020741023316</v>
      </c>
      <c r="K380" s="393">
        <v>24774.146859788812</v>
      </c>
      <c r="L380" s="393">
        <v>24971.425146561945</v>
      </c>
      <c r="M380" s="393">
        <v>25175.013947741827</v>
      </c>
      <c r="N380" s="394">
        <v>25385.128797401772</v>
      </c>
      <c r="O380" s="252">
        <v>25601.93925835508</v>
      </c>
      <c r="P380" s="252">
        <v>25825.672417581656</v>
      </c>
      <c r="Q380" s="252">
        <v>26056.509737388584</v>
      </c>
      <c r="R380" s="252">
        <v>26294.690561234394</v>
      </c>
      <c r="S380" s="252">
        <v>26544.231989279091</v>
      </c>
      <c r="T380" s="252">
        <v>26805.360536705844</v>
      </c>
      <c r="U380" s="252">
        <v>27074.499416060124</v>
      </c>
      <c r="V380" s="252">
        <v>27351.888937299755</v>
      </c>
      <c r="W380" s="252">
        <v>27637.776619681292</v>
      </c>
      <c r="X380" s="252">
        <v>10765.578803038999</v>
      </c>
    </row>
    <row r="381" spans="1:24" ht="12.75">
      <c r="A381" s="313" t="s">
        <v>35</v>
      </c>
      <c r="B381" s="388">
        <f>NPV(0.1,D381:Y381)</f>
        <v>86683.06844321976</v>
      </c>
      <c r="C381" s="388">
        <f>B381-B371</f>
        <v>582.09473050912493</v>
      </c>
      <c r="D381" s="392">
        <v>1918.7117902706714</v>
      </c>
      <c r="E381" s="393">
        <v>3664.764809454532</v>
      </c>
      <c r="F381" s="393">
        <v>3910.4781174694608</v>
      </c>
      <c r="G381" s="393">
        <v>7454.2245146819323</v>
      </c>
      <c r="H381" s="393">
        <v>10009.429052069332</v>
      </c>
      <c r="I381" s="393">
        <v>10517.272492987868</v>
      </c>
      <c r="J381" s="393">
        <v>10989.929278479582</v>
      </c>
      <c r="K381" s="393">
        <v>11752.069830099244</v>
      </c>
      <c r="L381" s="393">
        <v>12158.411100556439</v>
      </c>
      <c r="M381" s="393">
        <v>12998.814457820246</v>
      </c>
      <c r="N381" s="394">
        <v>13464.546584707168</v>
      </c>
      <c r="O381" s="252">
        <v>14393.800846477119</v>
      </c>
      <c r="P381" s="252">
        <v>14928.842009312784</v>
      </c>
      <c r="Q381" s="252">
        <v>15488.99227415942</v>
      </c>
      <c r="R381" s="252">
        <v>16075.977087064375</v>
      </c>
      <c r="S381" s="252">
        <v>16689.382968954189</v>
      </c>
      <c r="T381" s="252">
        <v>17331.166927761999</v>
      </c>
      <c r="U381" s="252">
        <v>18005.743159570422</v>
      </c>
      <c r="V381" s="252">
        <v>18715.467222712661</v>
      </c>
      <c r="W381" s="252">
        <v>19462.883591466525</v>
      </c>
      <c r="X381" s="252">
        <v>19457.014815381426</v>
      </c>
    </row>
    <row r="382" spans="1:24" ht="12.75">
      <c r="A382" s="313" t="s">
        <v>32</v>
      </c>
      <c r="B382" s="388">
        <f>NPV(0.1,D382:Y382)</f>
        <v>96853.942744344226</v>
      </c>
      <c r="C382" s="388">
        <f>B382-B372</f>
        <v>320.47589892368705</v>
      </c>
      <c r="D382" s="395">
        <v>3241.1622535341176</v>
      </c>
      <c r="E382" s="396">
        <v>5292.7127757965864</v>
      </c>
      <c r="F382" s="396">
        <v>5280.5326451454348</v>
      </c>
      <c r="G382" s="396">
        <v>16590.08902957727</v>
      </c>
      <c r="H382" s="396">
        <v>15605.05478759353</v>
      </c>
      <c r="I382" s="396">
        <v>14215.379402413253</v>
      </c>
      <c r="J382" s="396">
        <v>13901.521640282937</v>
      </c>
      <c r="K382" s="396">
        <v>13994.674327370698</v>
      </c>
      <c r="L382" s="396">
        <v>13922.748945326723</v>
      </c>
      <c r="M382" s="396">
        <v>13986.798693516888</v>
      </c>
      <c r="N382" s="397">
        <v>13874.203956241994</v>
      </c>
      <c r="O382" s="252">
        <v>13902.686508682973</v>
      </c>
      <c r="P382" s="252">
        <v>13741.906770503914</v>
      </c>
      <c r="Q382" s="252">
        <v>13568.526806323307</v>
      </c>
      <c r="R382" s="252">
        <v>13356.107711198045</v>
      </c>
      <c r="S382" s="252">
        <v>11306.035648920757</v>
      </c>
      <c r="T382" s="252">
        <v>9224.4484845794268</v>
      </c>
      <c r="U382" s="252">
        <v>8924.2701723024147</v>
      </c>
      <c r="V382" s="252">
        <v>8588.7831102495911</v>
      </c>
      <c r="W382" s="252">
        <v>8215.4364645196219</v>
      </c>
      <c r="X382" s="252">
        <v>22214.463303007673</v>
      </c>
    </row>
    <row r="384" spans="1:24">
      <c r="A384" s="292" t="s">
        <v>626</v>
      </c>
    </row>
    <row r="385" spans="1:24">
      <c r="A385" s="333">
        <v>36286</v>
      </c>
    </row>
    <row r="386" spans="1:24" ht="12.75">
      <c r="A386" s="308" t="s">
        <v>416</v>
      </c>
      <c r="B386" s="309">
        <v>65262.129594371538</v>
      </c>
      <c r="C386" s="247"/>
      <c r="D386" s="247"/>
      <c r="E386" s="247"/>
      <c r="F386" s="247"/>
      <c r="G386" s="247"/>
      <c r="H386" s="247"/>
      <c r="I386" s="247"/>
      <c r="J386" s="247"/>
      <c r="K386" s="247"/>
      <c r="L386" s="247"/>
      <c r="M386" s="247"/>
      <c r="N386" s="247"/>
      <c r="O386" s="247"/>
      <c r="P386" s="247"/>
      <c r="Q386" s="247"/>
      <c r="R386" s="247"/>
      <c r="S386" s="247"/>
      <c r="T386" s="247"/>
      <c r="U386" s="247"/>
      <c r="V386" s="247"/>
      <c r="W386" s="247"/>
      <c r="X386" s="247"/>
    </row>
    <row r="387" spans="1:24" ht="12.75">
      <c r="A387" s="310" t="s">
        <v>417</v>
      </c>
      <c r="B387" s="311">
        <v>99832.378519727412</v>
      </c>
      <c r="C387" s="247"/>
      <c r="D387" s="247"/>
      <c r="E387" s="247"/>
      <c r="F387" s="247"/>
      <c r="G387" s="247"/>
      <c r="H387" s="247"/>
      <c r="I387" s="247"/>
      <c r="J387" s="247"/>
      <c r="K387" s="247"/>
      <c r="L387" s="247"/>
      <c r="M387" s="247"/>
      <c r="N387" s="247"/>
      <c r="O387" s="247"/>
      <c r="P387" s="247"/>
      <c r="Q387" s="247"/>
      <c r="R387" s="247"/>
      <c r="S387" s="247"/>
      <c r="T387" s="247"/>
      <c r="U387" s="247"/>
      <c r="V387" s="247"/>
      <c r="W387" s="247"/>
      <c r="X387" s="247"/>
    </row>
    <row r="388" spans="1:24" ht="12.75">
      <c r="A388" s="312" t="s">
        <v>418</v>
      </c>
      <c r="B388" s="387" t="s">
        <v>469</v>
      </c>
      <c r="C388" s="387" t="s">
        <v>470</v>
      </c>
      <c r="D388" s="389">
        <v>2000</v>
      </c>
      <c r="E388" s="390">
        <v>2001</v>
      </c>
      <c r="F388" s="390">
        <v>2002</v>
      </c>
      <c r="G388" s="390">
        <v>2003</v>
      </c>
      <c r="H388" s="390">
        <v>2004</v>
      </c>
      <c r="I388" s="390">
        <v>2005</v>
      </c>
      <c r="J388" s="390">
        <v>2006</v>
      </c>
      <c r="K388" s="390">
        <v>2007</v>
      </c>
      <c r="L388" s="390">
        <v>2008</v>
      </c>
      <c r="M388" s="390">
        <v>2009</v>
      </c>
      <c r="N388" s="391">
        <v>2010</v>
      </c>
      <c r="O388" s="248">
        <v>2011</v>
      </c>
      <c r="P388" s="248">
        <v>2012</v>
      </c>
      <c r="Q388" s="248">
        <v>2013</v>
      </c>
      <c r="R388" s="248">
        <v>2014</v>
      </c>
      <c r="S388" s="248">
        <v>2015</v>
      </c>
      <c r="T388" s="248">
        <v>2016</v>
      </c>
      <c r="U388" s="248">
        <v>2017</v>
      </c>
      <c r="V388" s="248">
        <v>2018</v>
      </c>
      <c r="W388" s="248">
        <v>2019</v>
      </c>
      <c r="X388" s="248">
        <v>2020</v>
      </c>
    </row>
    <row r="389" spans="1:24" ht="12.75">
      <c r="A389" s="312" t="s">
        <v>419</v>
      </c>
      <c r="B389" s="388">
        <f>NPV(0.1,D389:Y389)</f>
        <v>458574.1247632138</v>
      </c>
      <c r="C389" s="388">
        <f>B389-B379</f>
        <v>-4350.7913248655386</v>
      </c>
      <c r="D389" s="392">
        <v>35096.462140000003</v>
      </c>
      <c r="E389" s="393">
        <v>45390.432531699997</v>
      </c>
      <c r="F389" s="393">
        <v>45487.222035150997</v>
      </c>
      <c r="G389" s="393">
        <v>50736.410933605475</v>
      </c>
      <c r="H389" s="393">
        <v>54775.375566709306</v>
      </c>
      <c r="I389" s="393">
        <v>55295.86673203003</v>
      </c>
      <c r="J389" s="393">
        <v>55813.900718146942</v>
      </c>
      <c r="K389" s="393">
        <v>56967.944776791352</v>
      </c>
      <c r="L389" s="393">
        <v>57498.354538926818</v>
      </c>
      <c r="M389" s="393">
        <v>58702.932212194639</v>
      </c>
      <c r="N389" s="394">
        <v>59245.303830239653</v>
      </c>
      <c r="O389" s="252">
        <v>60502.289982246846</v>
      </c>
      <c r="P389" s="252">
        <v>61056.113221221327</v>
      </c>
      <c r="Q389" s="252">
        <v>61604.324982437247</v>
      </c>
      <c r="R389" s="252">
        <v>62146.090136314015</v>
      </c>
      <c r="S389" s="252">
        <v>62680.528495826191</v>
      </c>
      <c r="T389" s="252">
        <v>63206.712864673442</v>
      </c>
      <c r="U389" s="252">
        <v>63723.667008892255</v>
      </c>
      <c r="V389" s="252">
        <v>64230.363549073016</v>
      </c>
      <c r="W389" s="252">
        <v>64725.721770243603</v>
      </c>
      <c r="X389" s="252">
        <v>46684.069949570607</v>
      </c>
    </row>
    <row r="390" spans="1:24" ht="12.75">
      <c r="A390" s="313" t="s">
        <v>420</v>
      </c>
      <c r="B390" s="388">
        <f>NPV(0.1,D390:Y390)</f>
        <v>211314.65672349193</v>
      </c>
      <c r="C390" s="388">
        <f>B390-B380</f>
        <v>-0.76255484652938321</v>
      </c>
      <c r="D390" s="392">
        <v>22626.314292607036</v>
      </c>
      <c r="E390" s="393">
        <v>23633.59022410465</v>
      </c>
      <c r="F390" s="393">
        <v>23780.284579557647</v>
      </c>
      <c r="G390" s="393">
        <v>23998.394538090684</v>
      </c>
      <c r="H390" s="393">
        <v>24219.289389385987</v>
      </c>
      <c r="I390" s="393">
        <v>24397.842145914638</v>
      </c>
      <c r="J390" s="393">
        <v>24583.020741023316</v>
      </c>
      <c r="K390" s="393">
        <v>24774.146859788812</v>
      </c>
      <c r="L390" s="393">
        <v>24971.425146561945</v>
      </c>
      <c r="M390" s="393">
        <v>25175.013947741827</v>
      </c>
      <c r="N390" s="394">
        <v>25385.128797401772</v>
      </c>
      <c r="O390" s="252">
        <v>25601.93925835508</v>
      </c>
      <c r="P390" s="252">
        <v>25825.672417581656</v>
      </c>
      <c r="Q390" s="252">
        <v>26056.509737388584</v>
      </c>
      <c r="R390" s="252">
        <v>26294.690561234394</v>
      </c>
      <c r="S390" s="252">
        <v>26544.231989279091</v>
      </c>
      <c r="T390" s="252">
        <v>26805.360536705844</v>
      </c>
      <c r="U390" s="252">
        <v>27074.499416060124</v>
      </c>
      <c r="V390" s="252">
        <v>27351.888937299755</v>
      </c>
      <c r="W390" s="252">
        <v>27637.776619681292</v>
      </c>
      <c r="X390" s="252">
        <v>10765.578803038999</v>
      </c>
    </row>
    <row r="391" spans="1:24" ht="12.75">
      <c r="A391" s="313" t="s">
        <v>35</v>
      </c>
      <c r="B391" s="388">
        <f>NPV(0.1,D391:Y391)</f>
        <v>84895.174785590556</v>
      </c>
      <c r="C391" s="388">
        <f>B391-B381</f>
        <v>-1787.8936576292035</v>
      </c>
      <c r="D391" s="392">
        <v>1978.2783599135767</v>
      </c>
      <c r="E391" s="393">
        <v>3771.5495149140247</v>
      </c>
      <c r="F391" s="393">
        <v>4025.6348076039108</v>
      </c>
      <c r="G391" s="393">
        <v>7368.0216797227804</v>
      </c>
      <c r="H391" s="393">
        <v>9725.7607540474564</v>
      </c>
      <c r="I391" s="393">
        <v>10225.672990867126</v>
      </c>
      <c r="J391" s="393">
        <v>10690.080906167106</v>
      </c>
      <c r="K391" s="393">
        <v>11435.759460124305</v>
      </c>
      <c r="L391" s="393">
        <v>11832.669785203932</v>
      </c>
      <c r="M391" s="393">
        <v>12654.870166551975</v>
      </c>
      <c r="N391" s="394">
        <v>13109.795009016763</v>
      </c>
      <c r="O391" s="252">
        <v>14018.86696884714</v>
      </c>
      <c r="P391" s="252">
        <v>14541.497508580953</v>
      </c>
      <c r="Q391" s="252">
        <v>15088.614395474751</v>
      </c>
      <c r="R391" s="252">
        <v>15661.899319733788</v>
      </c>
      <c r="S391" s="252">
        <v>16260.891576762491</v>
      </c>
      <c r="T391" s="252">
        <v>16887.497198106481</v>
      </c>
      <c r="U391" s="252">
        <v>17546.075348670987</v>
      </c>
      <c r="V391" s="252">
        <v>18238.922172327955</v>
      </c>
      <c r="W391" s="252">
        <v>18968.517990568525</v>
      </c>
      <c r="X391" s="252">
        <v>18943.816078105447</v>
      </c>
    </row>
    <row r="392" spans="1:24" ht="12.75">
      <c r="A392" s="313" t="s">
        <v>32</v>
      </c>
      <c r="B392" s="388">
        <f>NPV(0.1,D392:Y392)</f>
        <v>95386.451893692996</v>
      </c>
      <c r="C392" s="388">
        <f>B392-B382</f>
        <v>-1467.4908506512293</v>
      </c>
      <c r="D392" s="395">
        <v>3241.1828488138676</v>
      </c>
      <c r="E392" s="396">
        <v>5292.7702921361788</v>
      </c>
      <c r="F392" s="396">
        <v>5280.6299771779995</v>
      </c>
      <c r="G392" s="396">
        <v>16377.035042252812</v>
      </c>
      <c r="H392" s="396">
        <v>15248.188398944796</v>
      </c>
      <c r="I392" s="396">
        <v>13990.872261742203</v>
      </c>
      <c r="J392" s="396">
        <v>13677.476937147327</v>
      </c>
      <c r="K392" s="396">
        <v>13768.74120997572</v>
      </c>
      <c r="L392" s="396">
        <v>13698.006116074406</v>
      </c>
      <c r="M392" s="396">
        <v>13760.799067401258</v>
      </c>
      <c r="N392" s="397">
        <v>13650.264145755838</v>
      </c>
      <c r="O392" s="252">
        <v>13678.264572448126</v>
      </c>
      <c r="P392" s="252">
        <v>13520.579519746741</v>
      </c>
      <c r="Q392" s="252">
        <v>13350.834403314555</v>
      </c>
      <c r="R392" s="252">
        <v>13142.631827364274</v>
      </c>
      <c r="S392" s="252">
        <v>11097.402420018669</v>
      </c>
      <c r="T392" s="252">
        <v>9021.3316818839285</v>
      </c>
      <c r="U392" s="252">
        <v>8727.3946061947208</v>
      </c>
      <c r="V392" s="252">
        <v>8398.9282838670351</v>
      </c>
      <c r="W392" s="252">
        <v>8033.4404965050126</v>
      </c>
      <c r="X392" s="252">
        <v>21701.264565731697</v>
      </c>
    </row>
    <row r="394" spans="1:24">
      <c r="A394" s="292" t="s">
        <v>627</v>
      </c>
    </row>
    <row r="395" spans="1:24">
      <c r="A395" s="333">
        <v>36286</v>
      </c>
    </row>
    <row r="396" spans="1:24" ht="12.75">
      <c r="A396" s="308" t="s">
        <v>416</v>
      </c>
      <c r="B396" s="309">
        <v>55671.27835209341</v>
      </c>
      <c r="C396" s="247"/>
      <c r="D396" s="247"/>
      <c r="E396" s="247"/>
      <c r="F396" s="247"/>
      <c r="G396" s="247"/>
      <c r="H396" s="247"/>
      <c r="I396" s="247"/>
      <c r="J396" s="247"/>
      <c r="K396" s="247"/>
      <c r="L396" s="247"/>
      <c r="M396" s="247"/>
      <c r="N396" s="247"/>
      <c r="O396" s="247"/>
      <c r="P396" s="247"/>
      <c r="Q396" s="247"/>
      <c r="R396" s="247"/>
      <c r="S396" s="247"/>
      <c r="T396" s="247"/>
      <c r="U396" s="247"/>
      <c r="V396" s="247"/>
      <c r="W396" s="247"/>
      <c r="X396" s="247"/>
    </row>
    <row r="397" spans="1:24" ht="12.75">
      <c r="A397" s="310" t="s">
        <v>417</v>
      </c>
      <c r="B397" s="311">
        <v>87375.242645708844</v>
      </c>
      <c r="C397" s="247"/>
      <c r="D397" s="247"/>
      <c r="E397" s="247"/>
      <c r="F397" s="247"/>
      <c r="G397" s="247"/>
      <c r="H397" s="247"/>
      <c r="I397" s="247"/>
      <c r="J397" s="247"/>
      <c r="K397" s="247"/>
      <c r="L397" s="247"/>
      <c r="M397" s="247"/>
      <c r="N397" s="247"/>
      <c r="O397" s="247"/>
      <c r="P397" s="247"/>
      <c r="Q397" s="247"/>
      <c r="R397" s="247"/>
      <c r="S397" s="247"/>
      <c r="T397" s="247"/>
      <c r="U397" s="247"/>
      <c r="V397" s="247"/>
      <c r="W397" s="247"/>
      <c r="X397" s="247"/>
    </row>
    <row r="398" spans="1:24" ht="12.75">
      <c r="A398" s="312" t="s">
        <v>418</v>
      </c>
      <c r="B398" s="387" t="s">
        <v>469</v>
      </c>
      <c r="C398" s="387" t="s">
        <v>470</v>
      </c>
      <c r="D398" s="389">
        <v>2000</v>
      </c>
      <c r="E398" s="390">
        <v>2001</v>
      </c>
      <c r="F398" s="390">
        <v>2002</v>
      </c>
      <c r="G398" s="390">
        <v>2003</v>
      </c>
      <c r="H398" s="390">
        <v>2004</v>
      </c>
      <c r="I398" s="390">
        <v>2005</v>
      </c>
      <c r="J398" s="390">
        <v>2006</v>
      </c>
      <c r="K398" s="390">
        <v>2007</v>
      </c>
      <c r="L398" s="390">
        <v>2008</v>
      </c>
      <c r="M398" s="390">
        <v>2009</v>
      </c>
      <c r="N398" s="391">
        <v>2010</v>
      </c>
      <c r="O398" s="248">
        <v>2011</v>
      </c>
      <c r="P398" s="248">
        <v>2012</v>
      </c>
      <c r="Q398" s="248">
        <v>2013</v>
      </c>
      <c r="R398" s="248">
        <v>2014</v>
      </c>
      <c r="S398" s="248">
        <v>2015</v>
      </c>
      <c r="T398" s="248">
        <v>2016</v>
      </c>
      <c r="U398" s="248">
        <v>2017</v>
      </c>
      <c r="V398" s="248">
        <v>2018</v>
      </c>
      <c r="W398" s="248">
        <v>2019</v>
      </c>
      <c r="X398" s="248">
        <v>2020</v>
      </c>
    </row>
    <row r="399" spans="1:24" ht="12.75">
      <c r="A399" s="312" t="s">
        <v>419</v>
      </c>
      <c r="B399" s="388">
        <f>NPV(0.1,D399:Y399)</f>
        <v>444783.54604182491</v>
      </c>
      <c r="C399" s="388">
        <f>B399-B389</f>
        <v>-13790.578721388883</v>
      </c>
      <c r="D399" s="392">
        <v>34929.622390000004</v>
      </c>
      <c r="E399" s="393">
        <v>45223.592781699997</v>
      </c>
      <c r="F399" s="393">
        <v>45320.382285150998</v>
      </c>
      <c r="G399" s="393">
        <v>49554.678070499416</v>
      </c>
      <c r="H399" s="393">
        <v>52833.733579918982</v>
      </c>
      <c r="I399" s="393">
        <v>53300.98067813598</v>
      </c>
      <c r="J399" s="393">
        <v>53764.173275136083</v>
      </c>
      <c r="K399" s="393">
        <v>54861.730702990164</v>
      </c>
      <c r="L399" s="393">
        <v>55333.959235411603</v>
      </c>
      <c r="M399" s="393">
        <v>56478.610242073941</v>
      </c>
      <c r="N399" s="394">
        <v>56959.257393515356</v>
      </c>
      <c r="O399" s="252">
        <v>58152.667344920825</v>
      </c>
      <c r="P399" s="252">
        <v>58641.00709727552</v>
      </c>
      <c r="Q399" s="252">
        <v>59121.770867273051</v>
      </c>
      <c r="R399" s="252">
        <v>59594.06459019491</v>
      </c>
      <c r="S399" s="252">
        <v>60056.947375823511</v>
      </c>
      <c r="T399" s="252">
        <v>60509.429503570667</v>
      </c>
      <c r="U399" s="252">
        <v>60950.470339456413</v>
      </c>
      <c r="V399" s="252">
        <v>61378.976172054092</v>
      </c>
      <c r="W399" s="252">
        <v>61793.797964414116</v>
      </c>
      <c r="X399" s="252">
        <v>43669.193622066246</v>
      </c>
    </row>
    <row r="400" spans="1:24" ht="12.75">
      <c r="A400" s="313" t="s">
        <v>420</v>
      </c>
      <c r="B400" s="388">
        <f>NPV(0.1,D400:Y400)</f>
        <v>209621.46192941422</v>
      </c>
      <c r="C400" s="388">
        <f>B400-B390</f>
        <v>-1693.1947940777172</v>
      </c>
      <c r="D400" s="392">
        <v>22458.729467188692</v>
      </c>
      <c r="E400" s="393">
        <v>23465.576794225191</v>
      </c>
      <c r="F400" s="393">
        <v>23611.808950464245</v>
      </c>
      <c r="G400" s="393">
        <v>23908.023824554748</v>
      </c>
      <c r="H400" s="393">
        <v>24034.678223375999</v>
      </c>
      <c r="I400" s="393">
        <v>24212.713011843014</v>
      </c>
      <c r="J400" s="393">
        <v>24397.358099848207</v>
      </c>
      <c r="K400" s="393">
        <v>24587.934706297106</v>
      </c>
      <c r="L400" s="393">
        <v>24784.646995384152</v>
      </c>
      <c r="M400" s="393">
        <v>24987.652818947357</v>
      </c>
      <c r="N400" s="394">
        <v>25197.167201662134</v>
      </c>
      <c r="O400" s="252">
        <v>25413.359181661908</v>
      </c>
      <c r="P400" s="252">
        <v>25636.455305506355</v>
      </c>
      <c r="Q400" s="252">
        <v>25866.636478869688</v>
      </c>
      <c r="R400" s="252">
        <v>26104.141471878585</v>
      </c>
      <c r="S400" s="252">
        <v>26352.986794161272</v>
      </c>
      <c r="T400" s="252">
        <v>26613.398352653148</v>
      </c>
      <c r="U400" s="252">
        <v>26881.798733404514</v>
      </c>
      <c r="V400" s="252">
        <v>27158.427601083135</v>
      </c>
      <c r="W400" s="252">
        <v>27443.531810296834</v>
      </c>
      <c r="X400" s="252">
        <v>9212.9220994850111</v>
      </c>
    </row>
    <row r="401" spans="1:24" ht="12.75">
      <c r="A401" s="313" t="s">
        <v>35</v>
      </c>
      <c r="B401" s="388">
        <f>NPV(0.1,D401:Y401)</f>
        <v>80003.116346682116</v>
      </c>
      <c r="C401" s="388">
        <f>B401-B391</f>
        <v>-4892.0584389084397</v>
      </c>
      <c r="D401" s="392">
        <v>2146.62127013188</v>
      </c>
      <c r="E401" s="393">
        <v>4073.1130070722547</v>
      </c>
      <c r="F401" s="393">
        <v>4350.8353635352869</v>
      </c>
      <c r="G401" s="393">
        <v>7058.4222273586811</v>
      </c>
      <c r="H401" s="393">
        <v>9021.3350337743723</v>
      </c>
      <c r="I401" s="393">
        <v>9484.4002425959152</v>
      </c>
      <c r="J401" s="393">
        <v>9909.5990219791984</v>
      </c>
      <c r="K401" s="393">
        <v>10613.534933097268</v>
      </c>
      <c r="L401" s="393">
        <v>10965.984524580064</v>
      </c>
      <c r="M401" s="393">
        <v>11740.807273933031</v>
      </c>
      <c r="N401" s="394">
        <v>12145.22343294135</v>
      </c>
      <c r="O401" s="252">
        <v>13000.424948509883</v>
      </c>
      <c r="P401" s="252">
        <v>13465.574710328166</v>
      </c>
      <c r="Q401" s="252">
        <v>13951.332638017089</v>
      </c>
      <c r="R401" s="252">
        <v>14459.091775707102</v>
      </c>
      <c r="S401" s="252">
        <v>14988.080329294617</v>
      </c>
      <c r="T401" s="252">
        <v>15539.869021357103</v>
      </c>
      <c r="U401" s="252">
        <v>16118.455570845623</v>
      </c>
      <c r="V401" s="252">
        <v>16725.746468364996</v>
      </c>
      <c r="W401" s="252">
        <v>17363.801939492172</v>
      </c>
      <c r="X401" s="252">
        <v>18060.884459519126</v>
      </c>
    </row>
    <row r="402" spans="1:24" ht="12.75">
      <c r="A402" s="313" t="s">
        <v>32</v>
      </c>
      <c r="B402" s="388">
        <f>NPV(0.1,D402:Y402)</f>
        <v>91297.645004414037</v>
      </c>
      <c r="C402" s="388">
        <f>B402-B392</f>
        <v>-4088.8068892789597</v>
      </c>
      <c r="D402" s="395">
        <v>3240.8572243377525</v>
      </c>
      <c r="E402" s="396">
        <v>5293.055812337625</v>
      </c>
      <c r="F402" s="396">
        <v>5281.027936226681</v>
      </c>
      <c r="G402" s="396">
        <v>15708.575725641105</v>
      </c>
      <c r="H402" s="396">
        <v>14320.170281344534</v>
      </c>
      <c r="I402" s="396">
        <v>13384.087555638271</v>
      </c>
      <c r="J402" s="396">
        <v>13063.965291305411</v>
      </c>
      <c r="K402" s="396">
        <v>13149.219387751846</v>
      </c>
      <c r="L402" s="396">
        <v>13073.285869449137</v>
      </c>
      <c r="M402" s="396">
        <v>13131.795865496319</v>
      </c>
      <c r="N402" s="397">
        <v>13018.006635514928</v>
      </c>
      <c r="O402" s="252">
        <v>13043.904831071406</v>
      </c>
      <c r="P402" s="252">
        <v>12885.404163266408</v>
      </c>
      <c r="Q402" s="252">
        <v>12716.276620881043</v>
      </c>
      <c r="R402" s="252">
        <v>12510.284416410883</v>
      </c>
      <c r="S402" s="252">
        <v>10469.031903518571</v>
      </c>
      <c r="T402" s="252">
        <v>8398.8935954458357</v>
      </c>
      <c r="U402" s="252">
        <v>8113.0500497976136</v>
      </c>
      <c r="V402" s="252">
        <v>7795.061840655424</v>
      </c>
      <c r="W402" s="252">
        <v>7442.6796292971958</v>
      </c>
      <c r="X402" s="252">
        <v>20818.332947145376</v>
      </c>
    </row>
    <row r="404" spans="1:24">
      <c r="A404" s="292" t="s">
        <v>639</v>
      </c>
    </row>
    <row r="405" spans="1:24">
      <c r="A405" s="333">
        <v>36286</v>
      </c>
    </row>
    <row r="406" spans="1:24" ht="12.75">
      <c r="A406" s="308" t="s">
        <v>416</v>
      </c>
      <c r="B406" s="309">
        <v>55529.627663856751</v>
      </c>
      <c r="C406" s="247"/>
      <c r="D406" s="247"/>
      <c r="E406" s="247"/>
      <c r="F406" s="247"/>
      <c r="G406" s="247"/>
      <c r="H406" s="247"/>
      <c r="I406" s="247"/>
      <c r="J406" s="247"/>
      <c r="K406" s="247"/>
      <c r="L406" s="247"/>
      <c r="M406" s="247"/>
      <c r="N406" s="247"/>
      <c r="O406" s="247"/>
      <c r="P406" s="247"/>
      <c r="Q406" s="247"/>
      <c r="R406" s="247"/>
      <c r="S406" s="247"/>
      <c r="T406" s="247"/>
      <c r="U406" s="247"/>
      <c r="V406" s="247"/>
      <c r="W406" s="247"/>
      <c r="X406" s="247"/>
    </row>
    <row r="407" spans="1:24" ht="12.75">
      <c r="A407" s="310" t="s">
        <v>417</v>
      </c>
      <c r="B407" s="311">
        <v>87188.175356738997</v>
      </c>
      <c r="C407" s="247"/>
      <c r="D407" s="247"/>
      <c r="E407" s="247"/>
      <c r="F407" s="247"/>
      <c r="G407" s="247"/>
      <c r="H407" s="247"/>
      <c r="I407" s="247"/>
      <c r="J407" s="247"/>
      <c r="K407" s="247"/>
      <c r="L407" s="247"/>
      <c r="M407" s="247"/>
      <c r="N407" s="247"/>
      <c r="O407" s="247"/>
      <c r="P407" s="247"/>
      <c r="Q407" s="247"/>
      <c r="R407" s="247"/>
      <c r="S407" s="247"/>
      <c r="T407" s="247"/>
      <c r="U407" s="247"/>
      <c r="V407" s="247"/>
      <c r="W407" s="247"/>
      <c r="X407" s="247"/>
    </row>
    <row r="408" spans="1:24" ht="12.75">
      <c r="A408" s="312" t="s">
        <v>418</v>
      </c>
      <c r="B408" s="387" t="s">
        <v>469</v>
      </c>
      <c r="C408" s="387" t="s">
        <v>470</v>
      </c>
      <c r="D408" s="389">
        <v>2000</v>
      </c>
      <c r="E408" s="390">
        <v>2001</v>
      </c>
      <c r="F408" s="390">
        <v>2002</v>
      </c>
      <c r="G408" s="390">
        <v>2003</v>
      </c>
      <c r="H408" s="390">
        <v>2004</v>
      </c>
      <c r="I408" s="390">
        <v>2005</v>
      </c>
      <c r="J408" s="390">
        <v>2006</v>
      </c>
      <c r="K408" s="390">
        <v>2007</v>
      </c>
      <c r="L408" s="390">
        <v>2008</v>
      </c>
      <c r="M408" s="390">
        <v>2009</v>
      </c>
      <c r="N408" s="391">
        <v>2010</v>
      </c>
      <c r="O408" s="248">
        <v>2011</v>
      </c>
      <c r="P408" s="248">
        <v>2012</v>
      </c>
      <c r="Q408" s="248">
        <v>2013</v>
      </c>
      <c r="R408" s="248">
        <v>2014</v>
      </c>
      <c r="S408" s="248">
        <v>2015</v>
      </c>
      <c r="T408" s="248">
        <v>2016</v>
      </c>
      <c r="U408" s="248">
        <v>2017</v>
      </c>
      <c r="V408" s="248">
        <v>2018</v>
      </c>
      <c r="W408" s="248">
        <v>2019</v>
      </c>
      <c r="X408" s="248">
        <v>2020</v>
      </c>
    </row>
    <row r="409" spans="1:24" ht="12.75">
      <c r="A409" s="312" t="s">
        <v>419</v>
      </c>
      <c r="B409" s="388">
        <f>NPV(0.1,D409:Y409)</f>
        <v>444783.54604182491</v>
      </c>
      <c r="C409" s="388">
        <f>B409-B399</f>
        <v>0</v>
      </c>
      <c r="D409" s="392">
        <v>34929.622390000004</v>
      </c>
      <c r="E409" s="393">
        <v>45223.592781699997</v>
      </c>
      <c r="F409" s="393">
        <v>45320.382285150998</v>
      </c>
      <c r="G409" s="393">
        <v>49554.678070499416</v>
      </c>
      <c r="H409" s="393">
        <v>52833.733579918982</v>
      </c>
      <c r="I409" s="393">
        <v>53300.98067813598</v>
      </c>
      <c r="J409" s="393">
        <v>53764.173275136083</v>
      </c>
      <c r="K409" s="393">
        <v>54861.730702990164</v>
      </c>
      <c r="L409" s="393">
        <v>55333.959235411603</v>
      </c>
      <c r="M409" s="393">
        <v>56478.610242073941</v>
      </c>
      <c r="N409" s="394">
        <v>56959.257393515356</v>
      </c>
      <c r="O409" s="252">
        <v>58152.667344920825</v>
      </c>
      <c r="P409" s="252">
        <v>58641.00709727552</v>
      </c>
      <c r="Q409" s="252">
        <v>59121.770867273051</v>
      </c>
      <c r="R409" s="252">
        <v>59594.06459019491</v>
      </c>
      <c r="S409" s="252">
        <v>60056.947375823511</v>
      </c>
      <c r="T409" s="252">
        <v>60509.429503570667</v>
      </c>
      <c r="U409" s="252">
        <v>60950.470339456413</v>
      </c>
      <c r="V409" s="252">
        <v>61378.976172054092</v>
      </c>
      <c r="W409" s="252">
        <v>61793.797964414116</v>
      </c>
      <c r="X409" s="252">
        <v>43669.193622066246</v>
      </c>
    </row>
    <row r="410" spans="1:24" ht="12.75">
      <c r="A410" s="313" t="s">
        <v>420</v>
      </c>
      <c r="B410" s="388">
        <f>NPV(0.1,D410:Y410)</f>
        <v>209622.33060551071</v>
      </c>
      <c r="C410" s="388">
        <f>B410-B400</f>
        <v>0.8686760964919813</v>
      </c>
      <c r="D410" s="392">
        <v>22459.091725255839</v>
      </c>
      <c r="E410" s="393">
        <v>23465.889717595539</v>
      </c>
      <c r="F410" s="393">
        <v>23612.072510374852</v>
      </c>
      <c r="G410" s="393">
        <v>23908.237990776433</v>
      </c>
      <c r="H410" s="393">
        <v>24034.690929117267</v>
      </c>
      <c r="I410" s="393">
        <v>24212.691970312128</v>
      </c>
      <c r="J410" s="393">
        <v>24397.338272274268</v>
      </c>
      <c r="K410" s="393">
        <v>24587.916093854994</v>
      </c>
      <c r="L410" s="393">
        <v>24784.629596898991</v>
      </c>
      <c r="M410" s="393">
        <v>24987.636635594019</v>
      </c>
      <c r="N410" s="394">
        <v>25197.152232265744</v>
      </c>
      <c r="O410" s="252">
        <v>25413.345427397344</v>
      </c>
      <c r="P410" s="252">
        <v>25636.442765198739</v>
      </c>
      <c r="Q410" s="252">
        <v>25866.625153693894</v>
      </c>
      <c r="R410" s="252">
        <v>26104.131360659743</v>
      </c>
      <c r="S410" s="252">
        <v>26352.977550311054</v>
      </c>
      <c r="T410" s="252">
        <v>26613.389629583224</v>
      </c>
      <c r="U410" s="252">
        <v>26881.790531114882</v>
      </c>
      <c r="V410" s="252">
        <v>27158.419919573797</v>
      </c>
      <c r="W410" s="252">
        <v>27443.524649567789</v>
      </c>
      <c r="X410" s="252">
        <v>9212.9154595362616</v>
      </c>
    </row>
    <row r="411" spans="1:24" ht="12.75">
      <c r="A411" s="313" t="s">
        <v>35</v>
      </c>
      <c r="B411" s="388">
        <f>NPV(0.1,D411:Y411)</f>
        <v>79917.673387111106</v>
      </c>
      <c r="C411" s="388">
        <f>B411-B401</f>
        <v>-85.442959571009851</v>
      </c>
      <c r="D411" s="392">
        <v>2132.650163726953</v>
      </c>
      <c r="E411" s="393">
        <v>4049.337119030231</v>
      </c>
      <c r="F411" s="393">
        <v>4327.0797129286366</v>
      </c>
      <c r="G411" s="393">
        <v>7034.6878458151859</v>
      </c>
      <c r="H411" s="393">
        <v>8997.7183687226734</v>
      </c>
      <c r="I411" s="393">
        <v>9474.7189706541831</v>
      </c>
      <c r="J411" s="393">
        <v>9909.8568111260793</v>
      </c>
      <c r="K411" s="393">
        <v>10613.792192985125</v>
      </c>
      <c r="L411" s="393">
        <v>10966.241249086641</v>
      </c>
      <c r="M411" s="393">
        <v>11741.063454993102</v>
      </c>
      <c r="N411" s="394">
        <v>12145.479063297666</v>
      </c>
      <c r="O411" s="252">
        <v>13000.680018871419</v>
      </c>
      <c r="P411" s="252">
        <v>13465.829212113811</v>
      </c>
      <c r="Q411" s="252">
        <v>13951.586560506039</v>
      </c>
      <c r="R411" s="252">
        <v>14459.345108774085</v>
      </c>
      <c r="S411" s="252">
        <v>14988.333270540905</v>
      </c>
      <c r="T411" s="252">
        <v>15540.121774063931</v>
      </c>
      <c r="U411" s="252">
        <v>16118.708135148283</v>
      </c>
      <c r="V411" s="252">
        <v>16725.99884440958</v>
      </c>
      <c r="W411" s="252">
        <v>17364.054127436473</v>
      </c>
      <c r="X411" s="252">
        <v>18061.136459533554</v>
      </c>
    </row>
    <row r="412" spans="1:24" ht="12.75">
      <c r="A412" s="313" t="s">
        <v>32</v>
      </c>
      <c r="B412" s="388">
        <f>NPV(0.1,D412:Y412)</f>
        <v>91344.782756175773</v>
      </c>
      <c r="C412" s="388">
        <f>B412-B402</f>
        <v>47.137751761736581</v>
      </c>
      <c r="D412" s="395">
        <v>3240.7690980964167</v>
      </c>
      <c r="E412" s="396">
        <v>5292.9796877100307</v>
      </c>
      <c r="F412" s="396">
        <v>5280.9638202099659</v>
      </c>
      <c r="G412" s="396">
        <v>15708.444548830328</v>
      </c>
      <c r="H412" s="396">
        <v>14392.495586727275</v>
      </c>
      <c r="I412" s="396">
        <v>13390.471995382619</v>
      </c>
      <c r="J412" s="396">
        <v>13063.64071995383</v>
      </c>
      <c r="K412" s="396">
        <v>13148.8938708685</v>
      </c>
      <c r="L412" s="396">
        <v>13072.960530826385</v>
      </c>
      <c r="M412" s="396">
        <v>13131.469590943841</v>
      </c>
      <c r="N412" s="397">
        <v>13017.680549593262</v>
      </c>
      <c r="O412" s="252">
        <v>13043.577820419854</v>
      </c>
      <c r="P412" s="252">
        <v>12885.077353341472</v>
      </c>
      <c r="Q412" s="252">
        <v>12715.94889928971</v>
      </c>
      <c r="R412" s="252">
        <v>12509.956909654724</v>
      </c>
      <c r="S412" s="252">
        <v>10468.86917274302</v>
      </c>
      <c r="T412" s="252">
        <v>8398.895715356035</v>
      </c>
      <c r="U412" s="252">
        <v>8113.0519782413248</v>
      </c>
      <c r="V412" s="252">
        <v>7795.0635775337596</v>
      </c>
      <c r="W412" s="252">
        <v>7442.6811745033701</v>
      </c>
      <c r="X412" s="252">
        <v>20818.336956543553</v>
      </c>
    </row>
    <row r="414" spans="1:24">
      <c r="A414" s="292" t="s">
        <v>640</v>
      </c>
    </row>
    <row r="415" spans="1:24">
      <c r="A415" s="333">
        <v>36293</v>
      </c>
    </row>
    <row r="416" spans="1:24" ht="12.75">
      <c r="A416" s="308" t="s">
        <v>416</v>
      </c>
      <c r="B416" s="309">
        <v>54193.838417216582</v>
      </c>
      <c r="C416" s="247"/>
      <c r="D416" s="247"/>
      <c r="E416" s="247"/>
      <c r="F416" s="247"/>
      <c r="G416" s="247"/>
      <c r="H416" s="247"/>
      <c r="I416" s="247"/>
      <c r="J416" s="247"/>
      <c r="K416" s="247"/>
      <c r="L416" s="247"/>
      <c r="M416" s="247"/>
      <c r="N416" s="247"/>
      <c r="O416" s="247"/>
      <c r="P416" s="247"/>
      <c r="Q416" s="247"/>
      <c r="R416" s="247"/>
      <c r="S416" s="247"/>
      <c r="T416" s="247"/>
      <c r="U416" s="247"/>
      <c r="V416" s="247"/>
      <c r="W416" s="247"/>
      <c r="X416" s="247"/>
    </row>
    <row r="417" spans="1:24" ht="12.75">
      <c r="A417" s="310" t="s">
        <v>417</v>
      </c>
      <c r="B417" s="311">
        <v>84948.327531729286</v>
      </c>
      <c r="C417" s="247"/>
      <c r="D417" s="247"/>
      <c r="E417" s="247"/>
      <c r="F417" s="247"/>
      <c r="G417" s="247"/>
      <c r="H417" s="247"/>
      <c r="I417" s="247"/>
      <c r="J417" s="247"/>
      <c r="K417" s="247"/>
      <c r="L417" s="247"/>
      <c r="M417" s="247"/>
      <c r="N417" s="247"/>
      <c r="O417" s="247"/>
      <c r="P417" s="247"/>
      <c r="Q417" s="247"/>
      <c r="R417" s="247"/>
      <c r="S417" s="247"/>
      <c r="T417" s="247"/>
      <c r="U417" s="247"/>
      <c r="V417" s="247"/>
      <c r="W417" s="247"/>
      <c r="X417" s="247"/>
    </row>
    <row r="418" spans="1:24" ht="12.75">
      <c r="A418" s="312" t="s">
        <v>418</v>
      </c>
      <c r="B418" s="387" t="s">
        <v>469</v>
      </c>
      <c r="C418" s="387" t="s">
        <v>470</v>
      </c>
      <c r="D418" s="389">
        <v>2000</v>
      </c>
      <c r="E418" s="390">
        <v>2001</v>
      </c>
      <c r="F418" s="390">
        <v>2002</v>
      </c>
      <c r="G418" s="390">
        <v>2003</v>
      </c>
      <c r="H418" s="390">
        <v>2004</v>
      </c>
      <c r="I418" s="390">
        <v>2005</v>
      </c>
      <c r="J418" s="390">
        <v>2006</v>
      </c>
      <c r="K418" s="390">
        <v>2007</v>
      </c>
      <c r="L418" s="390">
        <v>2008</v>
      </c>
      <c r="M418" s="390">
        <v>2009</v>
      </c>
      <c r="N418" s="391">
        <v>2010</v>
      </c>
      <c r="O418" s="248">
        <v>2011</v>
      </c>
      <c r="P418" s="248">
        <v>2012</v>
      </c>
      <c r="Q418" s="248">
        <v>2013</v>
      </c>
      <c r="R418" s="248">
        <v>2014</v>
      </c>
      <c r="S418" s="248">
        <v>2015</v>
      </c>
      <c r="T418" s="248">
        <v>2016</v>
      </c>
      <c r="U418" s="248">
        <v>2017</v>
      </c>
      <c r="V418" s="248">
        <v>2018</v>
      </c>
      <c r="W418" s="248">
        <v>2019</v>
      </c>
      <c r="X418" s="248">
        <v>2020</v>
      </c>
    </row>
    <row r="419" spans="1:24" ht="12.75">
      <c r="A419" s="312" t="s">
        <v>419</v>
      </c>
      <c r="B419" s="388">
        <f>NPV(0.1,D419:Y419)</f>
        <v>442396.05836607888</v>
      </c>
      <c r="C419" s="388">
        <f>B419-B409</f>
        <v>-2387.4876757460297</v>
      </c>
      <c r="D419" s="392">
        <v>34929.622390000004</v>
      </c>
      <c r="E419" s="393">
        <v>45223.592781699997</v>
      </c>
      <c r="F419" s="393">
        <v>45320.382285150998</v>
      </c>
      <c r="G419" s="393">
        <v>49554.678070499416</v>
      </c>
      <c r="H419" s="393">
        <v>52833.733579918982</v>
      </c>
      <c r="I419" s="393">
        <v>53300.98067813598</v>
      </c>
      <c r="J419" s="393">
        <v>53764.173275136083</v>
      </c>
      <c r="K419" s="393">
        <v>54861.730702990164</v>
      </c>
      <c r="L419" s="393">
        <v>55333.959235411603</v>
      </c>
      <c r="M419" s="393">
        <v>56478.610242073941</v>
      </c>
      <c r="N419" s="394">
        <v>56959.257393515356</v>
      </c>
      <c r="O419" s="252">
        <v>58152.667344920825</v>
      </c>
      <c r="P419" s="252">
        <v>58641.00709727552</v>
      </c>
      <c r="Q419" s="252">
        <v>59121.770867273051</v>
      </c>
      <c r="R419" s="252">
        <v>59594.06459019491</v>
      </c>
      <c r="S419" s="252">
        <v>60056.947375823511</v>
      </c>
      <c r="T419" s="252">
        <v>60509.429503570667</v>
      </c>
      <c r="U419" s="252">
        <v>60950.470339456413</v>
      </c>
      <c r="V419" s="252">
        <v>61378.976172054092</v>
      </c>
      <c r="W419" s="252">
        <v>61793.797964414116</v>
      </c>
      <c r="X419" s="252">
        <v>26001.188082709294</v>
      </c>
    </row>
    <row r="420" spans="1:24" ht="12.75">
      <c r="A420" s="313" t="s">
        <v>420</v>
      </c>
      <c r="B420" s="388">
        <f>NPV(0.1,D420:Y420)</f>
        <v>210320.3995226821</v>
      </c>
      <c r="C420" s="388">
        <f>B420-B410</f>
        <v>698.06891717138933</v>
      </c>
      <c r="D420" s="392">
        <v>22459.091725255839</v>
      </c>
      <c r="E420" s="393">
        <v>23465.889717595539</v>
      </c>
      <c r="F420" s="393">
        <v>23612.072510374852</v>
      </c>
      <c r="G420" s="393">
        <v>23908.237990776433</v>
      </c>
      <c r="H420" s="393">
        <v>24034.690929117267</v>
      </c>
      <c r="I420" s="393">
        <v>24212.691970312128</v>
      </c>
      <c r="J420" s="393">
        <v>24397.338272274268</v>
      </c>
      <c r="K420" s="393">
        <v>24587.916093854994</v>
      </c>
      <c r="L420" s="393">
        <v>24784.629596898991</v>
      </c>
      <c r="M420" s="393">
        <v>24987.636635594019</v>
      </c>
      <c r="N420" s="394">
        <v>25197.152232265744</v>
      </c>
      <c r="O420" s="252">
        <v>25413.345427397344</v>
      </c>
      <c r="P420" s="252">
        <v>25636.442765198739</v>
      </c>
      <c r="Q420" s="252">
        <v>25866.625153693894</v>
      </c>
      <c r="R420" s="252">
        <v>26104.131360659743</v>
      </c>
      <c r="S420" s="252">
        <v>26352.977550311054</v>
      </c>
      <c r="T420" s="252">
        <v>26613.389629583224</v>
      </c>
      <c r="U420" s="252">
        <v>26881.790531114882</v>
      </c>
      <c r="V420" s="252">
        <v>27158.419919573797</v>
      </c>
      <c r="W420" s="252">
        <v>27443.524649567789</v>
      </c>
      <c r="X420" s="252">
        <v>14378.79992492217</v>
      </c>
    </row>
    <row r="421" spans="1:24" ht="12.75">
      <c r="A421" s="313" t="s">
        <v>35</v>
      </c>
      <c r="B421" s="388">
        <f>NPV(0.1,D421:Y421)</f>
        <v>78054.522713846192</v>
      </c>
      <c r="C421" s="388">
        <f>B421-B411</f>
        <v>-1863.1506732649141</v>
      </c>
      <c r="D421" s="392">
        <v>2132.650163726953</v>
      </c>
      <c r="E421" s="393">
        <v>4049.337119030231</v>
      </c>
      <c r="F421" s="393">
        <v>4327.0797129286366</v>
      </c>
      <c r="G421" s="393">
        <v>7034.6878458151859</v>
      </c>
      <c r="H421" s="393">
        <v>8997.7183687226734</v>
      </c>
      <c r="I421" s="393">
        <v>9474.7189706541831</v>
      </c>
      <c r="J421" s="393">
        <v>9909.8568111260793</v>
      </c>
      <c r="K421" s="393">
        <v>10613.792192985125</v>
      </c>
      <c r="L421" s="393">
        <v>10966.241249086641</v>
      </c>
      <c r="M421" s="393">
        <v>11741.063454993102</v>
      </c>
      <c r="N421" s="394">
        <v>12145.479063297666</v>
      </c>
      <c r="O421" s="252">
        <v>13000.680018871419</v>
      </c>
      <c r="P421" s="252">
        <v>13465.829212113811</v>
      </c>
      <c r="Q421" s="252">
        <v>13951.586560506039</v>
      </c>
      <c r="R421" s="252">
        <v>14459.345108774085</v>
      </c>
      <c r="S421" s="252">
        <v>14988.333270540905</v>
      </c>
      <c r="T421" s="252">
        <v>15540.121774063931</v>
      </c>
      <c r="U421" s="252">
        <v>16118.708135148283</v>
      </c>
      <c r="V421" s="252">
        <v>16725.99884440958</v>
      </c>
      <c r="W421" s="252">
        <v>17364.054127436473</v>
      </c>
      <c r="X421" s="252">
        <v>4273.3557935603003</v>
      </c>
    </row>
    <row r="422" spans="1:24" ht="12.75">
      <c r="A422" s="313" t="s">
        <v>32</v>
      </c>
      <c r="B422" s="388">
        <f>NPV(0.1,D422:Y422)</f>
        <v>89481.632082910859</v>
      </c>
      <c r="C422" s="388">
        <f>B422-B412</f>
        <v>-1863.1506732649141</v>
      </c>
      <c r="D422" s="395">
        <v>3240.7690980964167</v>
      </c>
      <c r="E422" s="396">
        <v>5292.9796877100307</v>
      </c>
      <c r="F422" s="396">
        <v>5280.9638202099659</v>
      </c>
      <c r="G422" s="396">
        <v>15708.444548830328</v>
      </c>
      <c r="H422" s="396">
        <v>14392.495586727275</v>
      </c>
      <c r="I422" s="396">
        <v>13390.471995382619</v>
      </c>
      <c r="J422" s="396">
        <v>13063.64071995383</v>
      </c>
      <c r="K422" s="396">
        <v>13148.8938708685</v>
      </c>
      <c r="L422" s="396">
        <v>13072.960530826385</v>
      </c>
      <c r="M422" s="396">
        <v>13131.469590943841</v>
      </c>
      <c r="N422" s="397">
        <v>13017.680549593262</v>
      </c>
      <c r="O422" s="252">
        <v>13043.577820419854</v>
      </c>
      <c r="P422" s="252">
        <v>12885.077353341472</v>
      </c>
      <c r="Q422" s="252">
        <v>12715.94889928971</v>
      </c>
      <c r="R422" s="252">
        <v>12509.956909654724</v>
      </c>
      <c r="S422" s="252">
        <v>10468.86917274302</v>
      </c>
      <c r="T422" s="252">
        <v>8398.895715356035</v>
      </c>
      <c r="U422" s="252">
        <v>8113.0519782413248</v>
      </c>
      <c r="V422" s="252">
        <v>7795.0635775337596</v>
      </c>
      <c r="W422" s="252">
        <v>7442.6811745033701</v>
      </c>
      <c r="X422" s="252">
        <v>7030.5562905702991</v>
      </c>
    </row>
    <row r="424" spans="1:24">
      <c r="A424" s="292" t="s">
        <v>642</v>
      </c>
    </row>
    <row r="425" spans="1:24">
      <c r="A425" s="333">
        <v>36298</v>
      </c>
    </row>
    <row r="426" spans="1:24" ht="12.75">
      <c r="A426" s="308" t="s">
        <v>416</v>
      </c>
      <c r="B426" s="309">
        <v>54153.558326636368</v>
      </c>
      <c r="C426" s="247"/>
      <c r="D426" s="247"/>
      <c r="E426" s="247"/>
      <c r="F426" s="247"/>
      <c r="G426" s="247"/>
      <c r="H426" s="247"/>
      <c r="I426" s="247"/>
      <c r="J426" s="247"/>
      <c r="K426" s="247"/>
      <c r="L426" s="247"/>
      <c r="M426" s="247"/>
      <c r="N426" s="247"/>
      <c r="O426" s="247"/>
      <c r="P426" s="247"/>
      <c r="Q426" s="247"/>
      <c r="R426" s="247"/>
      <c r="S426" s="247"/>
      <c r="T426" s="247"/>
      <c r="U426" s="247"/>
      <c r="V426" s="247"/>
      <c r="W426" s="247"/>
      <c r="X426" s="247"/>
    </row>
    <row r="427" spans="1:24" ht="12.75">
      <c r="A427" s="310" t="s">
        <v>417</v>
      </c>
      <c r="B427" s="311">
        <v>84937.964253347527</v>
      </c>
      <c r="C427" s="247"/>
      <c r="D427" s="247"/>
      <c r="E427" s="247"/>
      <c r="F427" s="247"/>
      <c r="G427" s="247"/>
      <c r="H427" s="247"/>
      <c r="I427" s="247"/>
      <c r="J427" s="247"/>
      <c r="K427" s="247"/>
      <c r="L427" s="247"/>
      <c r="M427" s="247"/>
      <c r="N427" s="247"/>
      <c r="O427" s="247"/>
      <c r="P427" s="247"/>
      <c r="Q427" s="247"/>
      <c r="R427" s="247"/>
      <c r="S427" s="247"/>
      <c r="T427" s="247"/>
      <c r="U427" s="247"/>
      <c r="V427" s="247"/>
      <c r="W427" s="247"/>
      <c r="X427" s="247"/>
    </row>
    <row r="428" spans="1:24" ht="12.75">
      <c r="A428" s="312" t="s">
        <v>418</v>
      </c>
      <c r="B428" s="387" t="s">
        <v>469</v>
      </c>
      <c r="C428" s="387" t="s">
        <v>470</v>
      </c>
      <c r="D428" s="389">
        <v>2000</v>
      </c>
      <c r="E428" s="390">
        <v>2001</v>
      </c>
      <c r="F428" s="390">
        <v>2002</v>
      </c>
      <c r="G428" s="390">
        <v>2003</v>
      </c>
      <c r="H428" s="390">
        <v>2004</v>
      </c>
      <c r="I428" s="390">
        <v>2005</v>
      </c>
      <c r="J428" s="390">
        <v>2006</v>
      </c>
      <c r="K428" s="390">
        <v>2007</v>
      </c>
      <c r="L428" s="390">
        <v>2008</v>
      </c>
      <c r="M428" s="390">
        <v>2009</v>
      </c>
      <c r="N428" s="391">
        <v>2010</v>
      </c>
      <c r="O428" s="248">
        <v>2011</v>
      </c>
      <c r="P428" s="248">
        <v>2012</v>
      </c>
      <c r="Q428" s="248">
        <v>2013</v>
      </c>
      <c r="R428" s="248">
        <v>2014</v>
      </c>
      <c r="S428" s="248">
        <v>2015</v>
      </c>
      <c r="T428" s="248">
        <v>2016</v>
      </c>
      <c r="U428" s="248">
        <v>2017</v>
      </c>
      <c r="V428" s="248">
        <v>2018</v>
      </c>
      <c r="W428" s="248">
        <v>2019</v>
      </c>
      <c r="X428" s="248">
        <v>2020</v>
      </c>
    </row>
    <row r="429" spans="1:24" ht="12.75">
      <c r="A429" s="312" t="s">
        <v>419</v>
      </c>
      <c r="B429" s="388">
        <f>NPV(0.1,D429:Y429)</f>
        <v>442396.05836607888</v>
      </c>
      <c r="C429" s="388">
        <f>B429-B419</f>
        <v>0</v>
      </c>
      <c r="D429" s="392">
        <v>34929.622390000004</v>
      </c>
      <c r="E429" s="393">
        <v>45223.592781699997</v>
      </c>
      <c r="F429" s="393">
        <v>45320.382285150998</v>
      </c>
      <c r="G429" s="393">
        <v>49554.678070499416</v>
      </c>
      <c r="H429" s="393">
        <v>52833.733579918982</v>
      </c>
      <c r="I429" s="393">
        <v>53300.98067813598</v>
      </c>
      <c r="J429" s="393">
        <v>53764.173275136083</v>
      </c>
      <c r="K429" s="393">
        <v>54861.730702990164</v>
      </c>
      <c r="L429" s="393">
        <v>55333.959235411603</v>
      </c>
      <c r="M429" s="393">
        <v>56478.610242073941</v>
      </c>
      <c r="N429" s="394">
        <v>56959.257393515356</v>
      </c>
      <c r="O429" s="252">
        <v>58152.667344920825</v>
      </c>
      <c r="P429" s="252">
        <v>58641.00709727552</v>
      </c>
      <c r="Q429" s="252">
        <v>59121.770867273051</v>
      </c>
      <c r="R429" s="252">
        <v>59594.06459019491</v>
      </c>
      <c r="S429" s="252">
        <v>60056.947375823511</v>
      </c>
      <c r="T429" s="252">
        <v>60509.429503570667</v>
      </c>
      <c r="U429" s="252">
        <v>60950.470339456413</v>
      </c>
      <c r="V429" s="252">
        <v>61378.976172054092</v>
      </c>
      <c r="W429" s="252">
        <v>61793.797964414116</v>
      </c>
      <c r="X429" s="252">
        <v>26001.188082709294</v>
      </c>
    </row>
    <row r="430" spans="1:24" ht="12.75">
      <c r="A430" s="313" t="s">
        <v>420</v>
      </c>
      <c r="B430" s="388">
        <f>NPV(0.1,D430:Y430)</f>
        <v>210326.88604340013</v>
      </c>
      <c r="C430" s="388">
        <f>B430-B420</f>
        <v>6.4865207180264406</v>
      </c>
      <c r="D430" s="392">
        <v>22459.841725255839</v>
      </c>
      <c r="E430" s="393">
        <v>23466.639717595539</v>
      </c>
      <c r="F430" s="393">
        <v>23612.822510374852</v>
      </c>
      <c r="G430" s="393">
        <v>23908.987990776433</v>
      </c>
      <c r="H430" s="393">
        <v>24035.440929117267</v>
      </c>
      <c r="I430" s="393">
        <v>24213.441970312128</v>
      </c>
      <c r="J430" s="393">
        <v>24398.088272274268</v>
      </c>
      <c r="K430" s="393">
        <v>24588.666093854994</v>
      </c>
      <c r="L430" s="393">
        <v>24785.379596898991</v>
      </c>
      <c r="M430" s="393">
        <v>24988.386635594019</v>
      </c>
      <c r="N430" s="394">
        <v>25197.902232265744</v>
      </c>
      <c r="O430" s="252">
        <v>25414.095427397344</v>
      </c>
      <c r="P430" s="252">
        <v>25637.192765198739</v>
      </c>
      <c r="Q430" s="252">
        <v>25867.375153693894</v>
      </c>
      <c r="R430" s="252">
        <v>26104.881360659743</v>
      </c>
      <c r="S430" s="252">
        <v>26353.727550311054</v>
      </c>
      <c r="T430" s="252">
        <v>26614.139629583224</v>
      </c>
      <c r="U430" s="252">
        <v>26882.540531114882</v>
      </c>
      <c r="V430" s="252">
        <v>27159.169919573797</v>
      </c>
      <c r="W430" s="252">
        <v>27444.274649567789</v>
      </c>
      <c r="X430" s="252">
        <v>14379.54992492217</v>
      </c>
    </row>
    <row r="431" spans="1:24" ht="12.75">
      <c r="A431" s="313" t="s">
        <v>35</v>
      </c>
      <c r="B431" s="388">
        <f>NPV(0.1,D431:Y431)</f>
        <v>78194.426136896742</v>
      </c>
      <c r="C431" s="388">
        <f>B431-B421</f>
        <v>139.90342305054946</v>
      </c>
      <c r="D431" s="392">
        <v>2161.8267995358565</v>
      </c>
      <c r="E431" s="393">
        <v>4099.6591053359425</v>
      </c>
      <c r="F431" s="393">
        <v>4377.3874472884454</v>
      </c>
      <c r="G431" s="393">
        <v>7084.9802237032836</v>
      </c>
      <c r="H431" s="393">
        <v>9048.0068782512681</v>
      </c>
      <c r="I431" s="393">
        <v>9490.2147606878498</v>
      </c>
      <c r="J431" s="393">
        <v>9900.4991307718901</v>
      </c>
      <c r="K431" s="393">
        <v>10604.429639612052</v>
      </c>
      <c r="L431" s="393">
        <v>10956.873432853172</v>
      </c>
      <c r="M431" s="393">
        <v>11731.689954870404</v>
      </c>
      <c r="N431" s="394">
        <v>12136.099424574602</v>
      </c>
      <c r="O431" s="252">
        <v>12991.293750459963</v>
      </c>
      <c r="P431" s="252">
        <v>13456.435783638884</v>
      </c>
      <c r="Q431" s="252">
        <v>13942.185399162567</v>
      </c>
      <c r="R431" s="252">
        <v>14449.935595932586</v>
      </c>
      <c r="S431" s="252">
        <v>14978.914738081536</v>
      </c>
      <c r="T431" s="252">
        <v>15530.693500417263</v>
      </c>
      <c r="U431" s="252">
        <v>16109.269341019331</v>
      </c>
      <c r="V431" s="252">
        <v>16716.548688159761</v>
      </c>
      <c r="W431" s="252">
        <v>17354.59170009612</v>
      </c>
      <c r="X431" s="252">
        <v>4263.8801134421738</v>
      </c>
    </row>
    <row r="432" spans="1:24" ht="12.75">
      <c r="A432" s="313" t="s">
        <v>32</v>
      </c>
      <c r="B432" s="388">
        <f>NPV(0.1,D432:Y432)</f>
        <v>89451.661592453864</v>
      </c>
      <c r="C432" s="388">
        <f>B432-B422</f>
        <v>-29.970490456995321</v>
      </c>
      <c r="D432" s="395">
        <v>3241.3366461733422</v>
      </c>
      <c r="E432" s="396">
        <v>5292.7972357869512</v>
      </c>
      <c r="F432" s="396">
        <v>5280.7813682868909</v>
      </c>
      <c r="G432" s="396">
        <v>15707.985173830331</v>
      </c>
      <c r="H432" s="396">
        <v>14284.821152725335</v>
      </c>
      <c r="I432" s="396">
        <v>13386.099897006588</v>
      </c>
      <c r="J432" s="396">
        <v>13075.417656321308</v>
      </c>
      <c r="K432" s="396">
        <v>13160.694460655906</v>
      </c>
      <c r="L432" s="396">
        <v>13084.744327129762</v>
      </c>
      <c r="M432" s="396">
        <v>13143.277589462021</v>
      </c>
      <c r="N432" s="397">
        <v>13029.472347325878</v>
      </c>
      <c r="O432" s="252">
        <v>13055.394460481621</v>
      </c>
      <c r="P432" s="252">
        <v>12896.87848394116</v>
      </c>
      <c r="Q432" s="252">
        <v>12727.775618847892</v>
      </c>
      <c r="R432" s="252">
        <v>12521.768926110544</v>
      </c>
      <c r="S432" s="252">
        <v>10474.682458373642</v>
      </c>
      <c r="T432" s="252">
        <v>8398.7107585177146</v>
      </c>
      <c r="U432" s="252">
        <v>8112.8741416371831</v>
      </c>
      <c r="V432" s="252">
        <v>7794.8934307825402</v>
      </c>
      <c r="W432" s="252">
        <v>7442.5193327933048</v>
      </c>
      <c r="X432" s="252">
        <v>7030.103418304675</v>
      </c>
    </row>
    <row r="434" spans="1:24">
      <c r="A434" s="292" t="s">
        <v>650</v>
      </c>
    </row>
    <row r="435" spans="1:24">
      <c r="A435" s="333">
        <v>36299</v>
      </c>
    </row>
    <row r="436" spans="1:24" ht="12.75">
      <c r="A436" s="308" t="s">
        <v>416</v>
      </c>
      <c r="B436" s="309">
        <v>54150.696446017129</v>
      </c>
      <c r="C436" s="247"/>
      <c r="D436" s="247"/>
      <c r="E436" s="247"/>
      <c r="F436" s="247"/>
      <c r="G436" s="247"/>
      <c r="H436" s="247"/>
      <c r="I436" s="247"/>
      <c r="J436" s="247"/>
      <c r="K436" s="247"/>
      <c r="L436" s="247"/>
      <c r="M436" s="247"/>
      <c r="N436" s="247"/>
      <c r="O436" s="247"/>
      <c r="P436" s="247"/>
      <c r="Q436" s="247"/>
      <c r="R436" s="247"/>
      <c r="S436" s="247"/>
      <c r="T436" s="247"/>
      <c r="U436" s="247"/>
      <c r="V436" s="247"/>
      <c r="W436" s="247"/>
      <c r="X436" s="247"/>
    </row>
    <row r="437" spans="1:24" ht="12.75">
      <c r="A437" s="310" t="s">
        <v>417</v>
      </c>
      <c r="B437" s="311">
        <v>84934.096660141833</v>
      </c>
      <c r="C437" s="247"/>
      <c r="D437" s="247"/>
      <c r="E437" s="247"/>
      <c r="F437" s="247"/>
      <c r="G437" s="247"/>
      <c r="H437" s="247"/>
      <c r="I437" s="247"/>
      <c r="J437" s="247"/>
      <c r="K437" s="247"/>
      <c r="L437" s="247"/>
      <c r="M437" s="247"/>
      <c r="N437" s="247"/>
      <c r="O437" s="247"/>
      <c r="P437" s="247"/>
      <c r="Q437" s="247"/>
      <c r="R437" s="247"/>
      <c r="S437" s="247"/>
      <c r="T437" s="247"/>
      <c r="U437" s="247"/>
      <c r="V437" s="247"/>
      <c r="W437" s="247"/>
      <c r="X437" s="247"/>
    </row>
    <row r="438" spans="1:24" ht="12.75">
      <c r="A438" s="312" t="s">
        <v>418</v>
      </c>
      <c r="B438" s="387" t="s">
        <v>469</v>
      </c>
      <c r="C438" s="387" t="s">
        <v>470</v>
      </c>
      <c r="D438" s="389">
        <v>2000</v>
      </c>
      <c r="E438" s="390">
        <v>2001</v>
      </c>
      <c r="F438" s="390">
        <v>2002</v>
      </c>
      <c r="G438" s="390">
        <v>2003</v>
      </c>
      <c r="H438" s="390">
        <v>2004</v>
      </c>
      <c r="I438" s="390">
        <v>2005</v>
      </c>
      <c r="J438" s="390">
        <v>2006</v>
      </c>
      <c r="K438" s="390">
        <v>2007</v>
      </c>
      <c r="L438" s="390">
        <v>2008</v>
      </c>
      <c r="M438" s="390">
        <v>2009</v>
      </c>
      <c r="N438" s="391">
        <v>2010</v>
      </c>
      <c r="O438" s="248">
        <v>2011</v>
      </c>
      <c r="P438" s="248">
        <v>2012</v>
      </c>
      <c r="Q438" s="248">
        <v>2013</v>
      </c>
      <c r="R438" s="248">
        <v>2014</v>
      </c>
      <c r="S438" s="248">
        <v>2015</v>
      </c>
      <c r="T438" s="248">
        <v>2016</v>
      </c>
      <c r="U438" s="248">
        <v>2017</v>
      </c>
      <c r="V438" s="248">
        <v>2018</v>
      </c>
      <c r="W438" s="248">
        <v>2019</v>
      </c>
      <c r="X438" s="248">
        <v>2020</v>
      </c>
    </row>
    <row r="439" spans="1:24" ht="12.75">
      <c r="A439" s="312" t="s">
        <v>419</v>
      </c>
      <c r="B439" s="388">
        <f>NPV(0.1,D439:Y439)</f>
        <v>435521.52618851973</v>
      </c>
      <c r="C439" s="388">
        <f>B439-B429</f>
        <v>-6874.5321775591583</v>
      </c>
      <c r="D439" s="392">
        <v>34109.114599490982</v>
      </c>
      <c r="E439" s="393">
        <v>44408.73164972457</v>
      </c>
      <c r="F439" s="393">
        <v>44505.81484797212</v>
      </c>
      <c r="G439" s="393">
        <v>48746.656869466366</v>
      </c>
      <c r="H439" s="393">
        <v>52037.308331742213</v>
      </c>
      <c r="I439" s="393">
        <v>52504.469359669725</v>
      </c>
      <c r="J439" s="393">
        <v>52967.709802711644</v>
      </c>
      <c r="K439" s="393">
        <v>54065.634596588818</v>
      </c>
      <c r="L439" s="393">
        <v>54538.241516014023</v>
      </c>
      <c r="M439" s="393">
        <v>55683.28226129026</v>
      </c>
      <c r="N439" s="394">
        <v>56164.33084350398</v>
      </c>
      <c r="O439" s="252">
        <v>57358.154268604922</v>
      </c>
      <c r="P439" s="252">
        <v>57846.919898865948</v>
      </c>
      <c r="Q439" s="252">
        <v>58328.122323107018</v>
      </c>
      <c r="R439" s="252">
        <v>58800.867859899714</v>
      </c>
      <c r="S439" s="252">
        <v>59264.216013815269</v>
      </c>
      <c r="T439" s="252">
        <v>59717.177470897994</v>
      </c>
      <c r="U439" s="252">
        <v>60158.712015999379</v>
      </c>
      <c r="V439" s="252">
        <v>60587.726369089163</v>
      </c>
      <c r="W439" s="252">
        <v>61003.071937556044</v>
      </c>
      <c r="X439" s="252">
        <v>25677.637643427039</v>
      </c>
    </row>
    <row r="440" spans="1:24" ht="12.75">
      <c r="A440" s="313" t="s">
        <v>420</v>
      </c>
      <c r="B440" s="388">
        <f>NPV(0.1,D440:Y440)</f>
        <v>203456.08344911225</v>
      </c>
      <c r="C440" s="388">
        <f>B440-B430</f>
        <v>-6870.8025942878739</v>
      </c>
      <c r="D440" s="392">
        <v>21639.403900706173</v>
      </c>
      <c r="E440" s="393">
        <v>22651.955275757133</v>
      </c>
      <c r="F440" s="393">
        <v>22798.538597970764</v>
      </c>
      <c r="G440" s="393">
        <v>23101.357266570209</v>
      </c>
      <c r="H440" s="393">
        <v>23239.737752812911</v>
      </c>
      <c r="I440" s="393">
        <v>23417.694644886222</v>
      </c>
      <c r="J440" s="393">
        <v>23602.344624685524</v>
      </c>
      <c r="K440" s="393">
        <v>23793.245601338393</v>
      </c>
      <c r="L440" s="393">
        <v>23990.2933231815</v>
      </c>
      <c r="M440" s="393">
        <v>24193.645889539479</v>
      </c>
      <c r="N440" s="394">
        <v>24403.51874877885</v>
      </c>
      <c r="O440" s="252">
        <v>24620.081206654977</v>
      </c>
      <c r="P440" s="252">
        <v>24843.560254158048</v>
      </c>
      <c r="Q440" s="252">
        <v>25074.137085945789</v>
      </c>
      <c r="R440" s="252">
        <v>25312.050938577817</v>
      </c>
      <c r="S440" s="252">
        <v>25561.330938465508</v>
      </c>
      <c r="T440" s="252">
        <v>25822.20339917676</v>
      </c>
      <c r="U440" s="252">
        <v>26091.079062027562</v>
      </c>
      <c r="V440" s="252">
        <v>26368.198023082095</v>
      </c>
      <c r="W440" s="252">
        <v>26653.807581286463</v>
      </c>
      <c r="X440" s="252">
        <v>14056.239496320168</v>
      </c>
    </row>
    <row r="441" spans="1:24" ht="12.75">
      <c r="A441" s="313" t="s">
        <v>35</v>
      </c>
      <c r="B441" s="388">
        <f>NPV(0.1,D441:Y441)</f>
        <v>78192.737812830936</v>
      </c>
      <c r="C441" s="388">
        <f>B441-B431</f>
        <v>-1.6883240658062277</v>
      </c>
      <c r="D441" s="392">
        <v>2161.8386878697056</v>
      </c>
      <c r="E441" s="393">
        <v>4099.6469269328209</v>
      </c>
      <c r="F441" s="393">
        <v>4377.3118017797578</v>
      </c>
      <c r="G441" s="393">
        <v>7084.8373227041593</v>
      </c>
      <c r="H441" s="393">
        <v>9047.6637288997244</v>
      </c>
      <c r="I441" s="393">
        <v>9489.8399467974814</v>
      </c>
      <c r="J441" s="393">
        <v>9900.1433275346244</v>
      </c>
      <c r="K441" s="393">
        <v>10604.093102991785</v>
      </c>
      <c r="L441" s="393">
        <v>10956.556386418797</v>
      </c>
      <c r="M441" s="393">
        <v>11731.392692948431</v>
      </c>
      <c r="N441" s="394">
        <v>12135.822212165551</v>
      </c>
      <c r="O441" s="252">
        <v>12991.036926636509</v>
      </c>
      <c r="P441" s="252">
        <v>13456.199661727413</v>
      </c>
      <c r="Q441" s="252">
        <v>13941.970370427676</v>
      </c>
      <c r="R441" s="252">
        <v>14449.742030067937</v>
      </c>
      <c r="S441" s="252">
        <v>14978.735447031506</v>
      </c>
      <c r="T441" s="252">
        <v>15530.521089580427</v>
      </c>
      <c r="U441" s="252">
        <v>16109.103807110214</v>
      </c>
      <c r="V441" s="252">
        <v>16716.390027630045</v>
      </c>
      <c r="W441" s="252">
        <v>17354.439909113611</v>
      </c>
      <c r="X441" s="252">
        <v>4263.7351878681211</v>
      </c>
    </row>
    <row r="442" spans="1:24" ht="12.75">
      <c r="A442" s="313" t="s">
        <v>32</v>
      </c>
      <c r="B442" s="388">
        <f>NPV(0.1,D442:Y442)</f>
        <v>89450.65090060205</v>
      </c>
      <c r="C442" s="388">
        <f>B442-B432</f>
        <v>-1.0106918518140446</v>
      </c>
      <c r="D442" s="395">
        <v>3241.3196256082288</v>
      </c>
      <c r="E442" s="396">
        <v>5292.7542525132349</v>
      </c>
      <c r="F442" s="396">
        <v>5280.71239543302</v>
      </c>
      <c r="G442" s="396">
        <v>15707.746006773892</v>
      </c>
      <c r="H442" s="396">
        <v>14284.759234272244</v>
      </c>
      <c r="I442" s="396">
        <v>13385.885624304792</v>
      </c>
      <c r="J442" s="396">
        <v>13075.217570285844</v>
      </c>
      <c r="K442" s="396">
        <v>13160.508414233203</v>
      </c>
      <c r="L442" s="396">
        <v>13084.572142826897</v>
      </c>
      <c r="M442" s="396">
        <v>13143.119094261703</v>
      </c>
      <c r="N442" s="397">
        <v>13029.32733569435</v>
      </c>
      <c r="O442" s="252">
        <v>13055.262729117507</v>
      </c>
      <c r="P442" s="252">
        <v>12896.759794603913</v>
      </c>
      <c r="Q442" s="252">
        <v>12727.669732912793</v>
      </c>
      <c r="R442" s="252">
        <v>12521.675567187798</v>
      </c>
      <c r="S442" s="252">
        <v>10474.598767600635</v>
      </c>
      <c r="T442" s="252">
        <v>8398.6340168214701</v>
      </c>
      <c r="U442" s="252">
        <v>8112.8043512413133</v>
      </c>
      <c r="V442" s="252">
        <v>7794.8305940885384</v>
      </c>
      <c r="W442" s="252">
        <v>7442.4634523947698</v>
      </c>
      <c r="X442" s="252">
        <v>7029.9584927306214</v>
      </c>
    </row>
    <row r="444" spans="1:24">
      <c r="A444" s="292" t="s">
        <v>653</v>
      </c>
    </row>
    <row r="445" spans="1:24">
      <c r="A445" s="333">
        <v>36299</v>
      </c>
    </row>
    <row r="446" spans="1:24" ht="12.75">
      <c r="A446" s="308" t="s">
        <v>416</v>
      </c>
      <c r="B446" s="309">
        <v>43183.372456753532</v>
      </c>
      <c r="C446" s="247"/>
      <c r="D446" s="247"/>
      <c r="E446" s="247"/>
      <c r="F446" s="247"/>
      <c r="G446" s="247"/>
      <c r="H446" s="247"/>
      <c r="I446" s="247"/>
      <c r="J446" s="247"/>
      <c r="K446" s="247"/>
      <c r="L446" s="247"/>
      <c r="M446" s="247"/>
      <c r="N446" s="247"/>
      <c r="O446" s="247"/>
      <c r="P446" s="247"/>
      <c r="Q446" s="247"/>
      <c r="R446" s="247"/>
      <c r="S446" s="247"/>
      <c r="T446" s="247"/>
      <c r="U446" s="247"/>
      <c r="V446" s="247"/>
      <c r="W446" s="247"/>
      <c r="X446" s="247"/>
    </row>
    <row r="447" spans="1:24" ht="12.75">
      <c r="A447" s="310" t="s">
        <v>417</v>
      </c>
      <c r="B447" s="311">
        <v>76748.437969461025</v>
      </c>
      <c r="C447" s="247"/>
      <c r="D447" s="247"/>
      <c r="E447" s="247"/>
      <c r="F447" s="247"/>
      <c r="G447" s="247"/>
      <c r="H447" s="247"/>
      <c r="I447" s="247"/>
      <c r="J447" s="247"/>
      <c r="K447" s="247"/>
      <c r="L447" s="247"/>
      <c r="M447" s="247"/>
      <c r="N447" s="247"/>
      <c r="O447" s="247"/>
      <c r="P447" s="247"/>
      <c r="Q447" s="247"/>
      <c r="R447" s="247"/>
      <c r="S447" s="247"/>
      <c r="T447" s="247"/>
      <c r="U447" s="247"/>
      <c r="V447" s="247"/>
      <c r="W447" s="247"/>
      <c r="X447" s="247"/>
    </row>
    <row r="448" spans="1:24" ht="12.75">
      <c r="A448" s="312" t="s">
        <v>418</v>
      </c>
      <c r="B448" s="387" t="s">
        <v>469</v>
      </c>
      <c r="C448" s="387" t="s">
        <v>470</v>
      </c>
      <c r="D448" s="389">
        <v>2000</v>
      </c>
      <c r="E448" s="390">
        <v>2001</v>
      </c>
      <c r="F448" s="390">
        <v>2002</v>
      </c>
      <c r="G448" s="390">
        <v>2003</v>
      </c>
      <c r="H448" s="390">
        <v>2004</v>
      </c>
      <c r="I448" s="390">
        <v>2005</v>
      </c>
      <c r="J448" s="390">
        <v>2006</v>
      </c>
      <c r="K448" s="390">
        <v>2007</v>
      </c>
      <c r="L448" s="390">
        <v>2008</v>
      </c>
      <c r="M448" s="390">
        <v>2009</v>
      </c>
      <c r="N448" s="391">
        <v>2010</v>
      </c>
      <c r="O448" s="248">
        <v>2011</v>
      </c>
      <c r="P448" s="248">
        <v>2012</v>
      </c>
      <c r="Q448" s="248">
        <v>2013</v>
      </c>
      <c r="R448" s="248">
        <v>2014</v>
      </c>
      <c r="S448" s="248">
        <v>2015</v>
      </c>
      <c r="T448" s="248">
        <v>2016</v>
      </c>
      <c r="U448" s="248">
        <v>2017</v>
      </c>
      <c r="V448" s="248">
        <v>2018</v>
      </c>
      <c r="W448" s="248">
        <v>2019</v>
      </c>
      <c r="X448" s="248">
        <v>2020</v>
      </c>
    </row>
    <row r="449" spans="1:24" ht="12.75">
      <c r="A449" s="312" t="s">
        <v>419</v>
      </c>
      <c r="B449" s="388">
        <f>NPV(0.1,D449:Y449)</f>
        <v>435521.52618851973</v>
      </c>
      <c r="C449" s="388">
        <f>B449-B439</f>
        <v>0</v>
      </c>
      <c r="D449" s="392">
        <v>34109.114599490982</v>
      </c>
      <c r="E449" s="393">
        <v>44408.73164972457</v>
      </c>
      <c r="F449" s="393">
        <v>44505.81484797212</v>
      </c>
      <c r="G449" s="393">
        <v>48746.656869466366</v>
      </c>
      <c r="H449" s="393">
        <v>52037.308331742213</v>
      </c>
      <c r="I449" s="393">
        <v>52504.469359669725</v>
      </c>
      <c r="J449" s="393">
        <v>52967.709802711644</v>
      </c>
      <c r="K449" s="393">
        <v>54065.634596588818</v>
      </c>
      <c r="L449" s="393">
        <v>54538.241516014023</v>
      </c>
      <c r="M449" s="393">
        <v>55683.28226129026</v>
      </c>
      <c r="N449" s="394">
        <v>56164.33084350398</v>
      </c>
      <c r="O449" s="252">
        <v>57358.154268604922</v>
      </c>
      <c r="P449" s="252">
        <v>57846.919898865948</v>
      </c>
      <c r="Q449" s="252">
        <v>58328.122323107018</v>
      </c>
      <c r="R449" s="252">
        <v>58800.867859899714</v>
      </c>
      <c r="S449" s="252">
        <v>59264.216013815269</v>
      </c>
      <c r="T449" s="252">
        <v>59717.177470897994</v>
      </c>
      <c r="U449" s="252">
        <v>60158.712015999379</v>
      </c>
      <c r="V449" s="252">
        <v>60587.726369089163</v>
      </c>
      <c r="W449" s="252">
        <v>61003.071937556044</v>
      </c>
      <c r="X449" s="252">
        <v>25677.637643427039</v>
      </c>
    </row>
    <row r="450" spans="1:24" ht="12.75">
      <c r="A450" s="313" t="s">
        <v>420</v>
      </c>
      <c r="B450" s="388">
        <f>NPV(0.1,D450:Y450)</f>
        <v>203461.9541340165</v>
      </c>
      <c r="C450" s="388">
        <f>B450-B440</f>
        <v>5.8706849042500835</v>
      </c>
      <c r="D450" s="392">
        <v>21642.279675148868</v>
      </c>
      <c r="E450" s="393">
        <v>22654.002356216777</v>
      </c>
      <c r="F450" s="393">
        <v>22799.914289353794</v>
      </c>
      <c r="G450" s="393">
        <v>23102.134652677822</v>
      </c>
      <c r="H450" s="393">
        <v>23239.737752812911</v>
      </c>
      <c r="I450" s="393">
        <v>23417.694644886222</v>
      </c>
      <c r="J450" s="393">
        <v>23602.344624685524</v>
      </c>
      <c r="K450" s="393">
        <v>23793.245601338393</v>
      </c>
      <c r="L450" s="393">
        <v>23990.2933231815</v>
      </c>
      <c r="M450" s="393">
        <v>24193.645889539479</v>
      </c>
      <c r="N450" s="394">
        <v>24403.51874877885</v>
      </c>
      <c r="O450" s="252">
        <v>24620.081206654977</v>
      </c>
      <c r="P450" s="252">
        <v>24843.560254158048</v>
      </c>
      <c r="Q450" s="252">
        <v>25074.137085945789</v>
      </c>
      <c r="R450" s="252">
        <v>25312.050938577817</v>
      </c>
      <c r="S450" s="252">
        <v>25561.330938465508</v>
      </c>
      <c r="T450" s="252">
        <v>25822.20339917676</v>
      </c>
      <c r="U450" s="252">
        <v>26091.079062027562</v>
      </c>
      <c r="V450" s="252">
        <v>26368.198023082095</v>
      </c>
      <c r="W450" s="252">
        <v>26653.807581286463</v>
      </c>
      <c r="X450" s="252">
        <v>14056.239496320168</v>
      </c>
    </row>
    <row r="451" spans="1:24" ht="12.75">
      <c r="A451" s="313" t="s">
        <v>35</v>
      </c>
      <c r="B451" s="388">
        <f>NPV(0.1,D451:Y451)</f>
        <v>82541.664569786924</v>
      </c>
      <c r="C451" s="388">
        <f>B451-B441</f>
        <v>4348.9267569559888</v>
      </c>
      <c r="D451" s="392">
        <v>138.46127984104282</v>
      </c>
      <c r="E451" s="393">
        <v>4682.710973466219</v>
      </c>
      <c r="F451" s="393">
        <v>4849.6970728384549</v>
      </c>
      <c r="G451" s="393">
        <v>7505.8012757217966</v>
      </c>
      <c r="H451" s="393">
        <v>9768.9301795034498</v>
      </c>
      <c r="I451" s="393">
        <v>10313.784299649917</v>
      </c>
      <c r="J451" s="393">
        <v>10811.302340846767</v>
      </c>
      <c r="K451" s="393">
        <v>11618.081237213126</v>
      </c>
      <c r="L451" s="393">
        <v>12043.563049633627</v>
      </c>
      <c r="M451" s="393">
        <v>13034.027674185283</v>
      </c>
      <c r="N451" s="394">
        <v>13733.106361001093</v>
      </c>
      <c r="O451" s="252">
        <v>14451.654386460403</v>
      </c>
      <c r="P451" s="252">
        <v>14772.403352092584</v>
      </c>
      <c r="Q451" s="252">
        <v>15084.299576530677</v>
      </c>
      <c r="R451" s="252">
        <v>15386.65897026001</v>
      </c>
      <c r="S451" s="252">
        <v>15676.48072807786</v>
      </c>
      <c r="T451" s="252">
        <v>15953.030817996534</v>
      </c>
      <c r="U451" s="252">
        <v>16378.409479445001</v>
      </c>
      <c r="V451" s="252">
        <v>16855.474949592339</v>
      </c>
      <c r="W451" s="252">
        <v>17415.496557929146</v>
      </c>
      <c r="X451" s="252">
        <v>4263.7351878681211</v>
      </c>
    </row>
    <row r="452" spans="1:24" ht="12.75">
      <c r="A452" s="313" t="s">
        <v>32</v>
      </c>
      <c r="B452" s="388">
        <f>NPV(0.1,D452:Y452)</f>
        <v>88451.402986829271</v>
      </c>
      <c r="C452" s="388">
        <f>B452-B442</f>
        <v>-999.2479137727787</v>
      </c>
      <c r="D452" s="395">
        <v>-1499.6481931036105</v>
      </c>
      <c r="E452" s="396">
        <v>8025.9630971766437</v>
      </c>
      <c r="F452" s="396">
        <v>6503.4149406010556</v>
      </c>
      <c r="G452" s="396">
        <v>9154.6133419984017</v>
      </c>
      <c r="H452" s="396">
        <v>13059.931732911933</v>
      </c>
      <c r="I452" s="396">
        <v>12217.661193747957</v>
      </c>
      <c r="J452" s="396">
        <v>11681.740082813016</v>
      </c>
      <c r="K452" s="396">
        <v>12494.689054496499</v>
      </c>
      <c r="L452" s="396">
        <v>9308.9007915998773</v>
      </c>
      <c r="M452" s="396">
        <v>7844.7254914686564</v>
      </c>
      <c r="N452" s="397">
        <v>17550.384102967342</v>
      </c>
      <c r="O452" s="252">
        <v>17616.842203743778</v>
      </c>
      <c r="P452" s="252">
        <v>17931.421094058831</v>
      </c>
      <c r="Q452" s="252">
        <v>18249.487393814048</v>
      </c>
      <c r="R452" s="252">
        <v>18545.676712226264</v>
      </c>
      <c r="S452" s="252">
        <v>17015.326251492235</v>
      </c>
      <c r="T452" s="252">
        <v>12180.404122859036</v>
      </c>
      <c r="U452" s="252">
        <v>11289.262784307501</v>
      </c>
      <c r="V452" s="252">
        <v>9791.5482544548358</v>
      </c>
      <c r="W452" s="252">
        <v>9035.0498627916495</v>
      </c>
      <c r="X452" s="252">
        <v>7029.9584927306214</v>
      </c>
    </row>
    <row r="453" spans="1:24">
      <c r="C453" s="302"/>
      <c r="D453" s="1063"/>
    </row>
    <row r="454" spans="1:24">
      <c r="A454" s="292" t="s">
        <v>654</v>
      </c>
    </row>
    <row r="455" spans="1:24">
      <c r="A455" s="333">
        <v>36300</v>
      </c>
    </row>
    <row r="456" spans="1:24" ht="12.75">
      <c r="A456" s="308" t="s">
        <v>416</v>
      </c>
      <c r="B456" s="309">
        <v>44365.865622862199</v>
      </c>
      <c r="C456" s="247"/>
      <c r="D456" s="247"/>
      <c r="E456" s="247"/>
      <c r="F456" s="247"/>
      <c r="G456" s="247"/>
      <c r="H456" s="247"/>
      <c r="I456" s="247"/>
      <c r="J456" s="247"/>
      <c r="K456" s="247"/>
      <c r="L456" s="247"/>
      <c r="M456" s="247"/>
      <c r="N456" s="247"/>
      <c r="O456" s="247"/>
      <c r="P456" s="247"/>
      <c r="Q456" s="247"/>
      <c r="R456" s="247"/>
      <c r="S456" s="247"/>
      <c r="T456" s="247"/>
      <c r="U456" s="247"/>
      <c r="V456" s="247"/>
      <c r="W456" s="247"/>
      <c r="X456" s="247"/>
    </row>
    <row r="457" spans="1:24" ht="12.75">
      <c r="A457" s="310" t="s">
        <v>417</v>
      </c>
      <c r="B457" s="311">
        <v>78562.586283234923</v>
      </c>
      <c r="C457" s="247"/>
      <c r="D457" s="247"/>
      <c r="E457" s="247"/>
      <c r="F457" s="247"/>
      <c r="G457" s="247"/>
      <c r="H457" s="247"/>
      <c r="I457" s="247"/>
      <c r="J457" s="247"/>
      <c r="K457" s="247"/>
      <c r="L457" s="247"/>
      <c r="M457" s="247"/>
      <c r="N457" s="247"/>
      <c r="O457" s="247"/>
      <c r="P457" s="247"/>
      <c r="Q457" s="247"/>
      <c r="R457" s="247"/>
      <c r="S457" s="247"/>
      <c r="T457" s="247"/>
      <c r="U457" s="247"/>
      <c r="V457" s="247"/>
      <c r="W457" s="247"/>
      <c r="X457" s="247"/>
    </row>
    <row r="458" spans="1:24" ht="12.75">
      <c r="A458" s="312" t="s">
        <v>418</v>
      </c>
      <c r="B458" s="387" t="s">
        <v>469</v>
      </c>
      <c r="C458" s="387" t="s">
        <v>470</v>
      </c>
      <c r="D458" s="389">
        <v>2000</v>
      </c>
      <c r="E458" s="390">
        <v>2001</v>
      </c>
      <c r="F458" s="390">
        <v>2002</v>
      </c>
      <c r="G458" s="390">
        <v>2003</v>
      </c>
      <c r="H458" s="390">
        <v>2004</v>
      </c>
      <c r="I458" s="390">
        <v>2005</v>
      </c>
      <c r="J458" s="390">
        <v>2006</v>
      </c>
      <c r="K458" s="390">
        <v>2007</v>
      </c>
      <c r="L458" s="390">
        <v>2008</v>
      </c>
      <c r="M458" s="390">
        <v>2009</v>
      </c>
      <c r="N458" s="391">
        <v>2010</v>
      </c>
      <c r="O458" s="248">
        <v>2011</v>
      </c>
      <c r="P458" s="248">
        <v>2012</v>
      </c>
      <c r="Q458" s="248">
        <v>2013</v>
      </c>
      <c r="R458" s="248">
        <v>2014</v>
      </c>
      <c r="S458" s="248">
        <v>2015</v>
      </c>
      <c r="T458" s="248">
        <v>2016</v>
      </c>
      <c r="U458" s="248">
        <v>2017</v>
      </c>
      <c r="V458" s="248">
        <v>2018</v>
      </c>
      <c r="W458" s="248">
        <v>2019</v>
      </c>
      <c r="X458" s="248">
        <v>2020</v>
      </c>
    </row>
    <row r="459" spans="1:24" ht="12.75">
      <c r="A459" s="312" t="s">
        <v>419</v>
      </c>
      <c r="B459" s="388">
        <f>NPV(0.1,D459:Y459)</f>
        <v>435521.52618851973</v>
      </c>
      <c r="C459" s="388">
        <f>B459-B449</f>
        <v>0</v>
      </c>
      <c r="D459" s="392">
        <v>34109.114599490982</v>
      </c>
      <c r="E459" s="393">
        <v>44408.73164972457</v>
      </c>
      <c r="F459" s="393">
        <v>44505.81484797212</v>
      </c>
      <c r="G459" s="393">
        <v>48746.656869466366</v>
      </c>
      <c r="H459" s="393">
        <v>52037.308331742213</v>
      </c>
      <c r="I459" s="393">
        <v>52504.469359669725</v>
      </c>
      <c r="J459" s="393">
        <v>52967.709802711644</v>
      </c>
      <c r="K459" s="393">
        <v>54065.634596588818</v>
      </c>
      <c r="L459" s="393">
        <v>54538.241516014023</v>
      </c>
      <c r="M459" s="393">
        <v>55683.28226129026</v>
      </c>
      <c r="N459" s="394">
        <v>56164.33084350398</v>
      </c>
      <c r="O459" s="252">
        <v>57358.154268604922</v>
      </c>
      <c r="P459" s="252">
        <v>57846.919898865948</v>
      </c>
      <c r="Q459" s="252">
        <v>58328.122323107018</v>
      </c>
      <c r="R459" s="252">
        <v>58800.867859899714</v>
      </c>
      <c r="S459" s="252">
        <v>59264.216013815269</v>
      </c>
      <c r="T459" s="252">
        <v>59717.177470897994</v>
      </c>
      <c r="U459" s="252">
        <v>60158.712015999379</v>
      </c>
      <c r="V459" s="252">
        <v>60587.726369089163</v>
      </c>
      <c r="W459" s="252">
        <v>61003.071937556044</v>
      </c>
      <c r="X459" s="252">
        <v>25677.637643427039</v>
      </c>
    </row>
    <row r="460" spans="1:24" ht="12.75">
      <c r="A460" s="313" t="s">
        <v>420</v>
      </c>
      <c r="B460" s="388">
        <f>NPV(0.1,D460:Y460)</f>
        <v>201568.97878935083</v>
      </c>
      <c r="C460" s="388">
        <f>B460-B450</f>
        <v>-1892.9753446656687</v>
      </c>
      <c r="D460" s="392">
        <v>21319.999207255685</v>
      </c>
      <c r="E460" s="393">
        <v>22349.030092783385</v>
      </c>
      <c r="F460" s="393">
        <v>22512.487563442704</v>
      </c>
      <c r="G460" s="393">
        <v>22836.028517105911</v>
      </c>
      <c r="H460" s="393">
        <v>22990.87812250316</v>
      </c>
      <c r="I460" s="393">
        <v>23183.168558054076</v>
      </c>
      <c r="J460" s="393">
        <v>23381.364205111506</v>
      </c>
      <c r="K460" s="393">
        <v>23585.82380618067</v>
      </c>
      <c r="L460" s="393">
        <v>23796.417195281909</v>
      </c>
      <c r="M460" s="393">
        <v>24013.328386056182</v>
      </c>
      <c r="N460" s="394">
        <v>24236.746912553681</v>
      </c>
      <c r="O460" s="252">
        <v>24466.867994846103</v>
      </c>
      <c r="P460" s="252">
        <v>24703.892709607306</v>
      </c>
      <c r="Q460" s="252">
        <v>24948.028165811342</v>
      </c>
      <c r="R460" s="252">
        <v>25199.487685701497</v>
      </c>
      <c r="S460" s="252">
        <v>25458.490991188359</v>
      </c>
      <c r="T460" s="252">
        <v>25725.264395839822</v>
      </c>
      <c r="U460" s="252">
        <v>26000.041002630835</v>
      </c>
      <c r="V460" s="252">
        <v>26283.060907625579</v>
      </c>
      <c r="W460" s="252">
        <v>26574.571409770157</v>
      </c>
      <c r="X460" s="252">
        <v>13982.812393744074</v>
      </c>
    </row>
    <row r="461" spans="1:24" ht="12.75">
      <c r="A461" s="313" t="s">
        <v>35</v>
      </c>
      <c r="B461" s="388">
        <f>NPV(0.1,D461:Y461)</f>
        <v>83684.699280601591</v>
      </c>
      <c r="C461" s="388">
        <f>B461-B451</f>
        <v>1143.0347108146671</v>
      </c>
      <c r="D461" s="392">
        <v>333.06379405633669</v>
      </c>
      <c r="E461" s="393">
        <v>4866.8622799913719</v>
      </c>
      <c r="F461" s="393">
        <v>5023.2538629244955</v>
      </c>
      <c r="G461" s="393">
        <v>7666.4840604060155</v>
      </c>
      <c r="H461" s="393">
        <v>9919.1990123047508</v>
      </c>
      <c r="I461" s="393">
        <v>10455.398113372368</v>
      </c>
      <c r="J461" s="393">
        <v>10944.736878541768</v>
      </c>
      <c r="K461" s="393">
        <v>11743.328674963903</v>
      </c>
      <c r="L461" s="393">
        <v>12160.631211356946</v>
      </c>
      <c r="M461" s="393">
        <v>13142.908735964384</v>
      </c>
      <c r="N461" s="394">
        <v>13833.808146752739</v>
      </c>
      <c r="O461" s="252">
        <v>14544.169072267823</v>
      </c>
      <c r="P461" s="252">
        <v>14856.73876187255</v>
      </c>
      <c r="Q461" s="252">
        <v>15160.447886366426</v>
      </c>
      <c r="R461" s="252">
        <v>15454.628004068303</v>
      </c>
      <c r="S461" s="252">
        <v>15738.578541304738</v>
      </c>
      <c r="T461" s="252">
        <v>16011.565466088037</v>
      </c>
      <c r="U461" s="252">
        <v>16433.380962401134</v>
      </c>
      <c r="V461" s="252">
        <v>16906.883267413097</v>
      </c>
      <c r="W461" s="252">
        <v>17463.341710614535</v>
      </c>
      <c r="X461" s="252">
        <v>4308.0726522706736</v>
      </c>
    </row>
    <row r="462" spans="1:24" ht="12.75">
      <c r="A462" s="313" t="s">
        <v>32</v>
      </c>
      <c r="B462" s="388">
        <f>NPV(0.1,D462:Y462)</f>
        <v>89680.075586747334</v>
      </c>
      <c r="C462" s="388">
        <f>B462-B452</f>
        <v>1228.6725999180635</v>
      </c>
      <c r="D462" s="395">
        <v>-1173.3392193617619</v>
      </c>
      <c r="E462" s="396">
        <v>8334.7475139029502</v>
      </c>
      <c r="F462" s="396">
        <v>6794.434500586035</v>
      </c>
      <c r="G462" s="396">
        <v>9424.0458042649607</v>
      </c>
      <c r="H462" s="396">
        <v>12727.64854850425</v>
      </c>
      <c r="I462" s="396">
        <v>12359.275007470413</v>
      </c>
      <c r="J462" s="396">
        <v>11815.174620508016</v>
      </c>
      <c r="K462" s="396">
        <v>12619.936492247276</v>
      </c>
      <c r="L462" s="396">
        <v>9425.968953323194</v>
      </c>
      <c r="M462" s="396">
        <v>7953.6065532477569</v>
      </c>
      <c r="N462" s="397">
        <v>17651.085888718986</v>
      </c>
      <c r="O462" s="252">
        <v>17709.3568895512</v>
      </c>
      <c r="P462" s="252">
        <v>18015.756503838798</v>
      </c>
      <c r="Q462" s="252">
        <v>18325.635703649801</v>
      </c>
      <c r="R462" s="252">
        <v>18613.645746034559</v>
      </c>
      <c r="S462" s="252">
        <v>17077.424064719115</v>
      </c>
      <c r="T462" s="252">
        <v>12238.938770950539</v>
      </c>
      <c r="U462" s="252">
        <v>11344.234267263633</v>
      </c>
      <c r="V462" s="252">
        <v>9842.9565722755979</v>
      </c>
      <c r="W462" s="252">
        <v>9082.8950154770409</v>
      </c>
      <c r="X462" s="252">
        <v>7074.2959571331739</v>
      </c>
    </row>
    <row r="464" spans="1:24">
      <c r="A464" s="292" t="s">
        <v>655</v>
      </c>
    </row>
    <row r="465" spans="1:24">
      <c r="A465" s="333">
        <v>36300</v>
      </c>
    </row>
    <row r="466" spans="1:24" ht="12.75">
      <c r="A466" s="308" t="s">
        <v>416</v>
      </c>
      <c r="B466" s="309">
        <v>44560.229702518773</v>
      </c>
      <c r="C466" s="247"/>
      <c r="D466" s="247"/>
      <c r="E466" s="247"/>
      <c r="F466" s="247"/>
      <c r="G466" s="247"/>
      <c r="H466" s="247"/>
      <c r="I466" s="247"/>
      <c r="J466" s="247"/>
      <c r="K466" s="247"/>
      <c r="L466" s="247"/>
      <c r="M466" s="247"/>
      <c r="N466" s="247"/>
      <c r="O466" s="247"/>
      <c r="P466" s="247"/>
      <c r="Q466" s="247"/>
      <c r="R466" s="247"/>
      <c r="S466" s="247"/>
      <c r="T466" s="247"/>
      <c r="U466" s="247"/>
      <c r="V466" s="247"/>
      <c r="W466" s="247"/>
      <c r="X466" s="247"/>
    </row>
    <row r="467" spans="1:24" ht="12.75">
      <c r="A467" s="310" t="s">
        <v>417</v>
      </c>
      <c r="B467" s="311">
        <v>78886.988046479848</v>
      </c>
      <c r="C467" s="247"/>
      <c r="D467" s="247"/>
      <c r="E467" s="247"/>
      <c r="F467" s="247"/>
      <c r="G467" s="247"/>
      <c r="H467" s="247"/>
      <c r="I467" s="247"/>
      <c r="J467" s="247"/>
      <c r="K467" s="247"/>
      <c r="L467" s="247"/>
      <c r="M467" s="247"/>
      <c r="N467" s="247"/>
      <c r="O467" s="247"/>
      <c r="P467" s="247"/>
      <c r="Q467" s="247"/>
      <c r="R467" s="247"/>
      <c r="S467" s="247"/>
      <c r="T467" s="247"/>
      <c r="U467" s="247"/>
      <c r="V467" s="247"/>
      <c r="W467" s="247"/>
      <c r="X467" s="247"/>
    </row>
    <row r="468" spans="1:24" ht="12.75">
      <c r="A468" s="312" t="s">
        <v>418</v>
      </c>
      <c r="B468" s="387" t="s">
        <v>469</v>
      </c>
      <c r="C468" s="387" t="s">
        <v>470</v>
      </c>
      <c r="D468" s="389">
        <v>2000</v>
      </c>
      <c r="E468" s="390">
        <v>2001</v>
      </c>
      <c r="F468" s="390">
        <v>2002</v>
      </c>
      <c r="G468" s="390">
        <v>2003</v>
      </c>
      <c r="H468" s="390">
        <v>2004</v>
      </c>
      <c r="I468" s="390">
        <v>2005</v>
      </c>
      <c r="J468" s="390">
        <v>2006</v>
      </c>
      <c r="K468" s="390">
        <v>2007</v>
      </c>
      <c r="L468" s="390">
        <v>2008</v>
      </c>
      <c r="M468" s="390">
        <v>2009</v>
      </c>
      <c r="N468" s="391">
        <v>2010</v>
      </c>
      <c r="O468" s="248">
        <v>2011</v>
      </c>
      <c r="P468" s="248">
        <v>2012</v>
      </c>
      <c r="Q468" s="248">
        <v>2013</v>
      </c>
      <c r="R468" s="248">
        <v>2014</v>
      </c>
      <c r="S468" s="248">
        <v>2015</v>
      </c>
      <c r="T468" s="248">
        <v>2016</v>
      </c>
      <c r="U468" s="248">
        <v>2017</v>
      </c>
      <c r="V468" s="248">
        <v>2018</v>
      </c>
      <c r="W468" s="248">
        <v>2019</v>
      </c>
      <c r="X468" s="248">
        <v>2020</v>
      </c>
    </row>
    <row r="469" spans="1:24" ht="12.75">
      <c r="A469" s="312" t="s">
        <v>419</v>
      </c>
      <c r="B469" s="388">
        <f>NPV(0.1,D469:Y469)</f>
        <v>435520.85924993578</v>
      </c>
      <c r="C469" s="388">
        <f>B469-B459</f>
        <v>-0.66693858394864947</v>
      </c>
      <c r="D469" s="392">
        <v>34109.114599490982</v>
      </c>
      <c r="E469" s="393">
        <v>44408.73164972457</v>
      </c>
      <c r="F469" s="393">
        <v>44505.81484797212</v>
      </c>
      <c r="G469" s="393">
        <v>48746.601542220909</v>
      </c>
      <c r="H469" s="393">
        <v>52037.210639634519</v>
      </c>
      <c r="I469" s="393">
        <v>52504.368736798802</v>
      </c>
      <c r="J469" s="393">
        <v>52967.606161154596</v>
      </c>
      <c r="K469" s="393">
        <v>54065.527845785058</v>
      </c>
      <c r="L469" s="393">
        <v>54538.131562686154</v>
      </c>
      <c r="M469" s="393">
        <v>55683.169009362551</v>
      </c>
      <c r="N469" s="394">
        <v>56164.214194018437</v>
      </c>
      <c r="O469" s="252">
        <v>57358.034119634816</v>
      </c>
      <c r="P469" s="252">
        <v>57846.796145426735</v>
      </c>
      <c r="Q469" s="252">
        <v>58327.99485706463</v>
      </c>
      <c r="R469" s="252">
        <v>58800.736569876048</v>
      </c>
      <c r="S469" s="252">
        <v>59264.080785090904</v>
      </c>
      <c r="T469" s="252">
        <v>59717.038185311896</v>
      </c>
      <c r="U469" s="252">
        <v>60158.568551845696</v>
      </c>
      <c r="V469" s="252">
        <v>60587.578601010864</v>
      </c>
      <c r="W469" s="252">
        <v>61002.919736435404</v>
      </c>
      <c r="X469" s="252">
        <v>25677.572323779434</v>
      </c>
    </row>
    <row r="470" spans="1:24" ht="12.75">
      <c r="A470" s="313" t="s">
        <v>420</v>
      </c>
      <c r="B470" s="388">
        <f>NPV(0.1,D470:Y470)</f>
        <v>201197.79041523291</v>
      </c>
      <c r="C470" s="388">
        <f>B470-B460</f>
        <v>-371.18837411791901</v>
      </c>
      <c r="D470" s="392">
        <v>21319.999207255685</v>
      </c>
      <c r="E470" s="393">
        <v>22349.030092783385</v>
      </c>
      <c r="F470" s="393">
        <v>22512.487563442704</v>
      </c>
      <c r="G470" s="393">
        <v>22805.235831273836</v>
      </c>
      <c r="H470" s="393">
        <v>22936.507037233951</v>
      </c>
      <c r="I470" s="393">
        <v>23127.166340226788</v>
      </c>
      <c r="J470" s="393">
        <v>23323.681920749401</v>
      </c>
      <c r="K470" s="393">
        <v>23526.411053287702</v>
      </c>
      <c r="L470" s="393">
        <v>23735.222059802152</v>
      </c>
      <c r="M470" s="393">
        <v>23950.297396512036</v>
      </c>
      <c r="N470" s="394">
        <v>24171.824993323207</v>
      </c>
      <c r="O470" s="252">
        <v>24399.998418038718</v>
      </c>
      <c r="P470" s="252">
        <v>24635.017045495697</v>
      </c>
      <c r="Q470" s="252">
        <v>24877.086231776386</v>
      </c>
      <c r="R470" s="252">
        <v>25126.417493645491</v>
      </c>
      <c r="S470" s="252">
        <v>25383.228693370675</v>
      </c>
      <c r="T470" s="252">
        <v>25647.74422908761</v>
      </c>
      <c r="U470" s="252">
        <v>25920.195230876056</v>
      </c>
      <c r="V470" s="252">
        <v>26200.819762718151</v>
      </c>
      <c r="W470" s="252">
        <v>26489.863030515509</v>
      </c>
      <c r="X470" s="252">
        <v>13946.458380980621</v>
      </c>
    </row>
    <row r="471" spans="1:24" ht="12.75">
      <c r="A471" s="313" t="s">
        <v>35</v>
      </c>
      <c r="B471" s="388">
        <f>NPV(0.1,D471:Y471)</f>
        <v>83908.431123232149</v>
      </c>
      <c r="C471" s="388">
        <f>B471-B461</f>
        <v>223.73184263055737</v>
      </c>
      <c r="D471" s="392">
        <v>333.06379405633669</v>
      </c>
      <c r="E471" s="393">
        <v>4866.8622799913719</v>
      </c>
      <c r="F471" s="393">
        <v>5023.2538629244955</v>
      </c>
      <c r="G471" s="393">
        <v>7685.0441900359492</v>
      </c>
      <c r="H471" s="393">
        <v>9951.9708983370347</v>
      </c>
      <c r="I471" s="393">
        <v>10489.153155985621</v>
      </c>
      <c r="J471" s="393">
        <v>10979.504572433418</v>
      </c>
      <c r="K471" s="393">
        <v>11779.139399672305</v>
      </c>
      <c r="L471" s="393">
        <v>12197.516257806599</v>
      </c>
      <c r="M471" s="393">
        <v>13180.900333807524</v>
      </c>
      <c r="N471" s="394">
        <v>13872.939492531175</v>
      </c>
      <c r="O471" s="252">
        <v>14584.474358419613</v>
      </c>
      <c r="P471" s="252">
        <v>14898.25320660889</v>
      </c>
      <c r="Q471" s="252">
        <v>15203.207764444851</v>
      </c>
      <c r="R471" s="252">
        <v>15498.670678489087</v>
      </c>
      <c r="S471" s="252">
        <v>15783.942495958145</v>
      </c>
      <c r="T471" s="252">
        <v>16058.290339381047</v>
      </c>
      <c r="U471" s="252">
        <v>16481.507581892933</v>
      </c>
      <c r="V471" s="252">
        <v>16956.453685489651</v>
      </c>
      <c r="W471" s="252">
        <v>17514.39924123339</v>
      </c>
      <c r="X471" s="252">
        <v>4329.9848424946003</v>
      </c>
    </row>
    <row r="472" spans="1:24" ht="12.75">
      <c r="A472" s="313" t="s">
        <v>32</v>
      </c>
      <c r="B472" s="388">
        <f>NPV(0.1,D472:Y472)</f>
        <v>89904.58739634107</v>
      </c>
      <c r="C472" s="388">
        <f>B472-B462</f>
        <v>224.51180959373596</v>
      </c>
      <c r="D472" s="395">
        <v>-1173.3392193617619</v>
      </c>
      <c r="E472" s="396">
        <v>8334.7475139029502</v>
      </c>
      <c r="F472" s="396">
        <v>6794.434500586035</v>
      </c>
      <c r="G472" s="396">
        <v>9455.1673798339125</v>
      </c>
      <c r="H472" s="396">
        <v>12747.858988597516</v>
      </c>
      <c r="I472" s="396">
        <v>12393.030050083666</v>
      </c>
      <c r="J472" s="396">
        <v>11849.942314399668</v>
      </c>
      <c r="K472" s="396">
        <v>12655.747216955679</v>
      </c>
      <c r="L472" s="396">
        <v>9462.8539997728476</v>
      </c>
      <c r="M472" s="396">
        <v>7991.5981510908987</v>
      </c>
      <c r="N472" s="397">
        <v>17690.217234497424</v>
      </c>
      <c r="O472" s="252">
        <v>17749.66217570299</v>
      </c>
      <c r="P472" s="252">
        <v>18057.27094857514</v>
      </c>
      <c r="Q472" s="252">
        <v>18368.395581728222</v>
      </c>
      <c r="R472" s="252">
        <v>18657.688420455343</v>
      </c>
      <c r="S472" s="252">
        <v>17122.788019372521</v>
      </c>
      <c r="T472" s="252">
        <v>12285.663644243547</v>
      </c>
      <c r="U472" s="252">
        <v>11392.36088675543</v>
      </c>
      <c r="V472" s="252">
        <v>9892.5269903521512</v>
      </c>
      <c r="W472" s="252">
        <v>9133.9525460958939</v>
      </c>
      <c r="X472" s="252">
        <v>7096.2081473571006</v>
      </c>
    </row>
    <row r="474" spans="1:24">
      <c r="A474" s="292" t="s">
        <v>656</v>
      </c>
    </row>
    <row r="475" spans="1:24">
      <c r="A475" s="333">
        <v>36306</v>
      </c>
    </row>
    <row r="476" spans="1:24" ht="12.75">
      <c r="A476" s="308" t="s">
        <v>416</v>
      </c>
      <c r="B476" s="309">
        <v>44560.913444019527</v>
      </c>
      <c r="C476" s="247"/>
      <c r="D476" s="247"/>
      <c r="E476" s="247"/>
      <c r="F476" s="247"/>
      <c r="G476" s="247"/>
      <c r="H476" s="247"/>
      <c r="I476" s="247"/>
      <c r="J476" s="247"/>
      <c r="K476" s="247"/>
      <c r="L476" s="247"/>
      <c r="M476" s="247"/>
      <c r="N476" s="247"/>
      <c r="O476" s="247"/>
      <c r="P476" s="247"/>
      <c r="Q476" s="247"/>
      <c r="R476" s="247"/>
      <c r="S476" s="247"/>
      <c r="T476" s="247"/>
      <c r="U476" s="247"/>
      <c r="V476" s="247"/>
      <c r="W476" s="247"/>
      <c r="X476" s="247"/>
    </row>
    <row r="477" spans="1:24" ht="12.75">
      <c r="A477" s="310" t="s">
        <v>417</v>
      </c>
      <c r="B477" s="311">
        <v>78887.815046479853</v>
      </c>
      <c r="C477" s="247"/>
      <c r="D477" s="247"/>
      <c r="E477" s="247"/>
      <c r="F477" s="247"/>
      <c r="G477" s="247"/>
      <c r="H477" s="247"/>
      <c r="I477" s="247"/>
      <c r="J477" s="247"/>
      <c r="K477" s="247"/>
      <c r="L477" s="247"/>
      <c r="M477" s="247"/>
      <c r="N477" s="247"/>
      <c r="O477" s="247"/>
      <c r="P477" s="247"/>
      <c r="Q477" s="247"/>
      <c r="R477" s="247"/>
      <c r="S477" s="247"/>
      <c r="T477" s="247"/>
      <c r="U477" s="247"/>
      <c r="V477" s="247"/>
      <c r="W477" s="247"/>
      <c r="X477" s="247"/>
    </row>
    <row r="478" spans="1:24" ht="12.75">
      <c r="A478" s="312" t="s">
        <v>418</v>
      </c>
      <c r="B478" s="387" t="s">
        <v>469</v>
      </c>
      <c r="C478" s="387" t="s">
        <v>470</v>
      </c>
      <c r="D478" s="389">
        <v>2000</v>
      </c>
      <c r="E478" s="390">
        <v>2001</v>
      </c>
      <c r="F478" s="390">
        <v>2002</v>
      </c>
      <c r="G478" s="390">
        <v>2003</v>
      </c>
      <c r="H478" s="390">
        <v>2004</v>
      </c>
      <c r="I478" s="390">
        <v>2005</v>
      </c>
      <c r="J478" s="390">
        <v>2006</v>
      </c>
      <c r="K478" s="390">
        <v>2007</v>
      </c>
      <c r="L478" s="390">
        <v>2008</v>
      </c>
      <c r="M478" s="390">
        <v>2009</v>
      </c>
      <c r="N478" s="391">
        <v>2010</v>
      </c>
      <c r="O478" s="248">
        <v>2011</v>
      </c>
      <c r="P478" s="248">
        <v>2012</v>
      </c>
      <c r="Q478" s="248">
        <v>2013</v>
      </c>
      <c r="R478" s="248">
        <v>2014</v>
      </c>
      <c r="S478" s="248">
        <v>2015</v>
      </c>
      <c r="T478" s="248">
        <v>2016</v>
      </c>
      <c r="U478" s="248">
        <v>2017</v>
      </c>
      <c r="V478" s="248">
        <v>2018</v>
      </c>
      <c r="W478" s="248">
        <v>2019</v>
      </c>
      <c r="X478" s="248">
        <v>2020</v>
      </c>
    </row>
    <row r="479" spans="1:24" ht="12.75">
      <c r="A479" s="312" t="s">
        <v>419</v>
      </c>
      <c r="B479" s="388">
        <f>NPV(0.1,D479:Y479)</f>
        <v>435520.85888061824</v>
      </c>
      <c r="C479" s="388">
        <f>B479-B469</f>
        <v>-3.6931753857061267E-4</v>
      </c>
      <c r="D479" s="392">
        <v>34109.114573440478</v>
      </c>
      <c r="E479" s="393">
        <v>44408.731605066569</v>
      </c>
      <c r="F479" s="393">
        <v>44505.814803314126</v>
      </c>
      <c r="G479" s="393">
        <v>48746.601497562908</v>
      </c>
      <c r="H479" s="393">
        <v>52037.210594976517</v>
      </c>
      <c r="I479" s="393">
        <v>52504.368692140801</v>
      </c>
      <c r="J479" s="393">
        <v>52967.606116496594</v>
      </c>
      <c r="K479" s="393">
        <v>54065.527801127057</v>
      </c>
      <c r="L479" s="393">
        <v>54538.131518028153</v>
      </c>
      <c r="M479" s="393">
        <v>55683.16896470455</v>
      </c>
      <c r="N479" s="394">
        <v>56164.214149360436</v>
      </c>
      <c r="O479" s="252">
        <v>57358.034074976815</v>
      </c>
      <c r="P479" s="252">
        <v>57846.796100768741</v>
      </c>
      <c r="Q479" s="252">
        <v>58327.994812406629</v>
      </c>
      <c r="R479" s="252">
        <v>58800.736525218053</v>
      </c>
      <c r="S479" s="252">
        <v>59264.080740432903</v>
      </c>
      <c r="T479" s="252">
        <v>59717.038140653895</v>
      </c>
      <c r="U479" s="252">
        <v>60158.568507187694</v>
      </c>
      <c r="V479" s="252">
        <v>60587.57855635287</v>
      </c>
      <c r="W479" s="252">
        <v>61002.919691777402</v>
      </c>
      <c r="X479" s="252">
        <v>25677.572279121432</v>
      </c>
    </row>
    <row r="480" spans="1:24" ht="12.75">
      <c r="A480" s="313" t="s">
        <v>420</v>
      </c>
      <c r="B480" s="388">
        <f>NPV(0.1,D480:Y480)</f>
        <v>201197.79004591543</v>
      </c>
      <c r="C480" s="388">
        <f>B480-B470</f>
        <v>-3.6931748036295176E-4</v>
      </c>
      <c r="D480" s="392">
        <v>21319.999181205185</v>
      </c>
      <c r="E480" s="393">
        <v>22349.030048125387</v>
      </c>
      <c r="F480" s="393">
        <v>22512.487518784706</v>
      </c>
      <c r="G480" s="393">
        <v>22805.235786615835</v>
      </c>
      <c r="H480" s="393">
        <v>22936.506992575949</v>
      </c>
      <c r="I480" s="393">
        <v>23127.166295568786</v>
      </c>
      <c r="J480" s="393">
        <v>23323.681876091407</v>
      </c>
      <c r="K480" s="393">
        <v>23526.411008629704</v>
      </c>
      <c r="L480" s="393">
        <v>23735.222015144151</v>
      </c>
      <c r="M480" s="393">
        <v>23950.297351854035</v>
      </c>
      <c r="N480" s="394">
        <v>24171.824948665209</v>
      </c>
      <c r="O480" s="252">
        <v>24399.998373380717</v>
      </c>
      <c r="P480" s="252">
        <v>24635.017000837695</v>
      </c>
      <c r="Q480" s="252">
        <v>24877.086187118384</v>
      </c>
      <c r="R480" s="252">
        <v>25126.417448987493</v>
      </c>
      <c r="S480" s="252">
        <v>25383.228648712673</v>
      </c>
      <c r="T480" s="252">
        <v>25647.744184429608</v>
      </c>
      <c r="U480" s="252">
        <v>25920.195186218054</v>
      </c>
      <c r="V480" s="252">
        <v>26200.819718060153</v>
      </c>
      <c r="W480" s="252">
        <v>26489.862985857508</v>
      </c>
      <c r="X480" s="252">
        <v>13946.458336322621</v>
      </c>
    </row>
    <row r="481" spans="1:24" ht="12.75">
      <c r="A481" s="313" t="s">
        <v>35</v>
      </c>
      <c r="B481" s="388">
        <f>NPV(0.1,D481:Y481)</f>
        <v>83908.553485294586</v>
      </c>
      <c r="C481" s="388">
        <f>B481-B471</f>
        <v>0.12236206243687775</v>
      </c>
      <c r="D481" s="392">
        <v>333.07242509352255</v>
      </c>
      <c r="E481" s="393">
        <v>4866.8770760551197</v>
      </c>
      <c r="F481" s="393">
        <v>5023.2686589882469</v>
      </c>
      <c r="G481" s="393">
        <v>7685.0589860996988</v>
      </c>
      <c r="H481" s="393">
        <v>9951.9856944007843</v>
      </c>
      <c r="I481" s="393">
        <v>10489.167952049373</v>
      </c>
      <c r="J481" s="393">
        <v>10979.519368497164</v>
      </c>
      <c r="K481" s="393">
        <v>11779.154195736053</v>
      </c>
      <c r="L481" s="393">
        <v>12197.531053870351</v>
      </c>
      <c r="M481" s="393">
        <v>13180.915129871271</v>
      </c>
      <c r="N481" s="394">
        <v>13872.954288594923</v>
      </c>
      <c r="O481" s="252">
        <v>14584.489154483364</v>
      </c>
      <c r="P481" s="252">
        <v>14898.268002672645</v>
      </c>
      <c r="Q481" s="252">
        <v>15203.222560508602</v>
      </c>
      <c r="R481" s="252">
        <v>15498.685474552838</v>
      </c>
      <c r="S481" s="252">
        <v>15783.957292021896</v>
      </c>
      <c r="T481" s="252">
        <v>16058.305135444798</v>
      </c>
      <c r="U481" s="252">
        <v>16481.52237795668</v>
      </c>
      <c r="V481" s="252">
        <v>16956.468481553406</v>
      </c>
      <c r="W481" s="252">
        <v>17514.414037297138</v>
      </c>
      <c r="X481" s="252">
        <v>4329.999638558349</v>
      </c>
    </row>
    <row r="482" spans="1:24" ht="12.75">
      <c r="A482" s="313" t="s">
        <v>32</v>
      </c>
      <c r="B482" s="388">
        <f>NPV(0.1,D482:Y482)</f>
        <v>89904.431348621452</v>
      </c>
      <c r="C482" s="388">
        <f>B482-B472</f>
        <v>-0.15604771961807273</v>
      </c>
      <c r="D482" s="395">
        <v>-1173.3392193617656</v>
      </c>
      <c r="E482" s="396">
        <v>8334.7475139029466</v>
      </c>
      <c r="F482" s="396">
        <v>6794.434500586035</v>
      </c>
      <c r="G482" s="396">
        <v>9455.1673798339125</v>
      </c>
      <c r="H482" s="396">
        <v>12747.733213558216</v>
      </c>
      <c r="I482" s="396">
        <v>12393.009254476052</v>
      </c>
      <c r="J482" s="396">
        <v>11849.922620325038</v>
      </c>
      <c r="K482" s="396">
        <v>12655.727489501265</v>
      </c>
      <c r="L482" s="396">
        <v>9462.8343056982249</v>
      </c>
      <c r="M482" s="396">
        <v>7991.5784236364834</v>
      </c>
      <c r="N482" s="397">
        <v>17690.197540422796</v>
      </c>
      <c r="O482" s="252">
        <v>17749.642448248578</v>
      </c>
      <c r="P482" s="252">
        <v>18057.251254500523</v>
      </c>
      <c r="Q482" s="252">
        <v>18368.375854273814</v>
      </c>
      <c r="R482" s="252">
        <v>18657.668726380718</v>
      </c>
      <c r="S482" s="252">
        <v>17122.778172335209</v>
      </c>
      <c r="T482" s="252">
        <v>12285.663644243545</v>
      </c>
      <c r="U482" s="252">
        <v>11392.36088675543</v>
      </c>
      <c r="V482" s="252">
        <v>9892.5269903521548</v>
      </c>
      <c r="W482" s="252">
        <v>9133.9525460958939</v>
      </c>
      <c r="X482" s="252">
        <v>7096.2081473570997</v>
      </c>
    </row>
    <row r="484" spans="1:24">
      <c r="A484" s="292" t="s">
        <v>657</v>
      </c>
    </row>
    <row r="485" spans="1:24">
      <c r="A485" s="333">
        <v>36314</v>
      </c>
    </row>
    <row r="486" spans="1:24" ht="12.75">
      <c r="A486" s="308" t="s">
        <v>416</v>
      </c>
      <c r="B486" s="309">
        <v>44400.572341614941</v>
      </c>
      <c r="C486" s="247"/>
      <c r="D486" s="247"/>
      <c r="E486" s="247"/>
      <c r="F486" s="247"/>
      <c r="G486" s="247"/>
      <c r="H486" s="247"/>
      <c r="I486" s="247"/>
      <c r="J486" s="247"/>
      <c r="K486" s="247"/>
      <c r="L486" s="247"/>
      <c r="M486" s="247"/>
      <c r="N486" s="247"/>
      <c r="O486" s="247"/>
      <c r="P486" s="247"/>
      <c r="Q486" s="247"/>
      <c r="R486" s="247"/>
      <c r="S486" s="247"/>
      <c r="T486" s="247"/>
      <c r="U486" s="247"/>
      <c r="V486" s="247"/>
      <c r="W486" s="247"/>
      <c r="X486" s="247"/>
    </row>
    <row r="487" spans="1:24" ht="12.75">
      <c r="A487" s="310" t="s">
        <v>417</v>
      </c>
      <c r="B487" s="311">
        <v>78693.879046479822</v>
      </c>
      <c r="C487" s="247"/>
      <c r="D487" s="247"/>
      <c r="E487" s="247"/>
      <c r="F487" s="247"/>
      <c r="G487" s="247"/>
      <c r="H487" s="247"/>
      <c r="I487" s="247"/>
      <c r="J487" s="247"/>
      <c r="K487" s="247"/>
      <c r="L487" s="247"/>
      <c r="M487" s="247"/>
      <c r="N487" s="247"/>
      <c r="O487" s="247"/>
      <c r="P487" s="247"/>
      <c r="Q487" s="247"/>
      <c r="R487" s="247"/>
      <c r="S487" s="247"/>
      <c r="T487" s="247"/>
      <c r="U487" s="247"/>
      <c r="V487" s="247"/>
      <c r="W487" s="247"/>
      <c r="X487" s="247"/>
    </row>
    <row r="488" spans="1:24" ht="12.75">
      <c r="A488" s="312" t="s">
        <v>418</v>
      </c>
      <c r="B488" s="387" t="s">
        <v>469</v>
      </c>
      <c r="C488" s="387" t="s">
        <v>470</v>
      </c>
      <c r="D488" s="389">
        <v>2000</v>
      </c>
      <c r="E488" s="390">
        <v>2001</v>
      </c>
      <c r="F488" s="390">
        <v>2002</v>
      </c>
      <c r="G488" s="390">
        <v>2003</v>
      </c>
      <c r="H488" s="390">
        <v>2004</v>
      </c>
      <c r="I488" s="390">
        <v>2005</v>
      </c>
      <c r="J488" s="390">
        <v>2006</v>
      </c>
      <c r="K488" s="390">
        <v>2007</v>
      </c>
      <c r="L488" s="390">
        <v>2008</v>
      </c>
      <c r="M488" s="390">
        <v>2009</v>
      </c>
      <c r="N488" s="391">
        <v>2010</v>
      </c>
      <c r="O488" s="248">
        <v>2011</v>
      </c>
      <c r="P488" s="248">
        <v>2012</v>
      </c>
      <c r="Q488" s="248">
        <v>2013</v>
      </c>
      <c r="R488" s="248">
        <v>2014</v>
      </c>
      <c r="S488" s="248">
        <v>2015</v>
      </c>
      <c r="T488" s="248">
        <v>2016</v>
      </c>
      <c r="U488" s="248">
        <v>2017</v>
      </c>
      <c r="V488" s="248">
        <v>2018</v>
      </c>
      <c r="W488" s="248">
        <v>2019</v>
      </c>
      <c r="X488" s="248">
        <v>2020</v>
      </c>
    </row>
    <row r="489" spans="1:24" ht="12.75">
      <c r="A489" s="312" t="s">
        <v>419</v>
      </c>
      <c r="B489" s="388">
        <f>NPV(0.1,D489:Y489)</f>
        <v>435520.94548757694</v>
      </c>
      <c r="C489" s="388">
        <f>B489-B479</f>
        <v>8.6606958706397563E-2</v>
      </c>
      <c r="D489" s="392">
        <v>34109.12068242448</v>
      </c>
      <c r="E489" s="393">
        <v>44408.742077610565</v>
      </c>
      <c r="F489" s="393">
        <v>44505.825275858122</v>
      </c>
      <c r="G489" s="393">
        <v>48746.611970106911</v>
      </c>
      <c r="H489" s="393">
        <v>52037.221067520521</v>
      </c>
      <c r="I489" s="393">
        <v>52504.379164684804</v>
      </c>
      <c r="J489" s="393">
        <v>52967.616589040597</v>
      </c>
      <c r="K489" s="393">
        <v>54065.53827367106</v>
      </c>
      <c r="L489" s="393">
        <v>54538.141990572156</v>
      </c>
      <c r="M489" s="393">
        <v>55683.179437248553</v>
      </c>
      <c r="N489" s="394">
        <v>56164.224621904439</v>
      </c>
      <c r="O489" s="252">
        <v>57358.044547520818</v>
      </c>
      <c r="P489" s="252">
        <v>57846.806573312737</v>
      </c>
      <c r="Q489" s="252">
        <v>58328.005284950632</v>
      </c>
      <c r="R489" s="252">
        <v>58800.746997762049</v>
      </c>
      <c r="S489" s="252">
        <v>59264.091212976899</v>
      </c>
      <c r="T489" s="252">
        <v>59717.048613197898</v>
      </c>
      <c r="U489" s="252">
        <v>60158.578979731697</v>
      </c>
      <c r="V489" s="252">
        <v>60587.589028896859</v>
      </c>
      <c r="W489" s="252">
        <v>61002.930164321406</v>
      </c>
      <c r="X489" s="252">
        <v>25677.582751665432</v>
      </c>
    </row>
    <row r="490" spans="1:24" ht="12.75">
      <c r="A490" s="313" t="s">
        <v>420</v>
      </c>
      <c r="B490" s="388">
        <f>NPV(0.1,D490:Y490)</f>
        <v>201197.87665287423</v>
      </c>
      <c r="C490" s="388">
        <f>B490-B480</f>
        <v>8.6606958793709055E-2</v>
      </c>
      <c r="D490" s="392">
        <v>21320.005290189183</v>
      </c>
      <c r="E490" s="393">
        <v>22349.040520669387</v>
      </c>
      <c r="F490" s="393">
        <v>22512.497991328706</v>
      </c>
      <c r="G490" s="393">
        <v>22805.246259159838</v>
      </c>
      <c r="H490" s="393">
        <v>22936.517465119952</v>
      </c>
      <c r="I490" s="393">
        <v>23127.176768112789</v>
      </c>
      <c r="J490" s="393">
        <v>23323.692348635403</v>
      </c>
      <c r="K490" s="393">
        <v>23526.421481173704</v>
      </c>
      <c r="L490" s="393">
        <v>23735.232487688154</v>
      </c>
      <c r="M490" s="393">
        <v>23950.307824398034</v>
      </c>
      <c r="N490" s="394">
        <v>24171.835421209209</v>
      </c>
      <c r="O490" s="252">
        <v>24400.00884592472</v>
      </c>
      <c r="P490" s="252">
        <v>24635.027473381695</v>
      </c>
      <c r="Q490" s="252">
        <v>24877.096659662388</v>
      </c>
      <c r="R490" s="252">
        <v>25126.427921531493</v>
      </c>
      <c r="S490" s="252">
        <v>25383.239121256676</v>
      </c>
      <c r="T490" s="252">
        <v>25647.754656973611</v>
      </c>
      <c r="U490" s="252">
        <v>25920.205658762054</v>
      </c>
      <c r="V490" s="252">
        <v>26200.830190604152</v>
      </c>
      <c r="W490" s="252">
        <v>26489.873458401507</v>
      </c>
      <c r="X490" s="252">
        <v>13946.468808866621</v>
      </c>
    </row>
    <row r="491" spans="1:24" ht="12.75">
      <c r="A491" s="313" t="s">
        <v>35</v>
      </c>
      <c r="B491" s="388">
        <f>NPV(0.1,D491:Y491)</f>
        <v>83879.858915828372</v>
      </c>
      <c r="C491" s="388">
        <f>B491-B481</f>
        <v>-28.694569466213579</v>
      </c>
      <c r="D491" s="392">
        <v>331.04839990852497</v>
      </c>
      <c r="E491" s="393">
        <v>4863.4073185951165</v>
      </c>
      <c r="F491" s="393">
        <v>5019.7989015282437</v>
      </c>
      <c r="G491" s="393">
        <v>7681.5892286397002</v>
      </c>
      <c r="H491" s="393">
        <v>9948.5159369407847</v>
      </c>
      <c r="I491" s="393">
        <v>10485.698194589371</v>
      </c>
      <c r="J491" s="393">
        <v>10976.049611037168</v>
      </c>
      <c r="K491" s="393">
        <v>11775.684438276056</v>
      </c>
      <c r="L491" s="393">
        <v>12194.061296410351</v>
      </c>
      <c r="M491" s="393">
        <v>13177.445372411272</v>
      </c>
      <c r="N491" s="394">
        <v>13869.484531134924</v>
      </c>
      <c r="O491" s="252">
        <v>14581.019397023365</v>
      </c>
      <c r="P491" s="252">
        <v>14894.79824521264</v>
      </c>
      <c r="Q491" s="252">
        <v>15199.752803048603</v>
      </c>
      <c r="R491" s="252">
        <v>15495.215717092837</v>
      </c>
      <c r="S491" s="252">
        <v>15780.487534561897</v>
      </c>
      <c r="T491" s="252">
        <v>16054.835377984797</v>
      </c>
      <c r="U491" s="252">
        <v>16478.052620496688</v>
      </c>
      <c r="V491" s="252">
        <v>16952.998724093399</v>
      </c>
      <c r="W491" s="252">
        <v>17510.944279837138</v>
      </c>
      <c r="X491" s="252">
        <v>4326.5298810983495</v>
      </c>
    </row>
    <row r="492" spans="1:24" ht="12.75">
      <c r="A492" s="313" t="s">
        <v>32</v>
      </c>
      <c r="B492" s="388">
        <f>NPV(0.1,D492:Y492)</f>
        <v>89941.025387979083</v>
      </c>
      <c r="C492" s="388">
        <f>B492-B482</f>
        <v>36.594039357631118</v>
      </c>
      <c r="D492" s="395">
        <v>-1173.3392193617619</v>
      </c>
      <c r="E492" s="396">
        <v>8334.7475139029393</v>
      </c>
      <c r="F492" s="396">
        <v>6794.4345005860314</v>
      </c>
      <c r="G492" s="396">
        <v>9455.1673798339161</v>
      </c>
      <c r="H492" s="396">
        <v>12777.228144660614</v>
      </c>
      <c r="I492" s="396">
        <v>12397.885937617451</v>
      </c>
      <c r="J492" s="396">
        <v>11854.54098798704</v>
      </c>
      <c r="K492" s="396">
        <v>12660.353684905063</v>
      </c>
      <c r="L492" s="396">
        <v>9467.4526733602252</v>
      </c>
      <c r="M492" s="396">
        <v>7996.2046190402834</v>
      </c>
      <c r="N492" s="397">
        <v>17694.815908084798</v>
      </c>
      <c r="O492" s="252">
        <v>17754.268643652384</v>
      </c>
      <c r="P492" s="252">
        <v>18061.869622162514</v>
      </c>
      <c r="Q492" s="252">
        <v>18373.002049677616</v>
      </c>
      <c r="R492" s="252">
        <v>18662.287094042716</v>
      </c>
      <c r="S492" s="252">
        <v>17125.087356166208</v>
      </c>
      <c r="T492" s="252">
        <v>12285.663644243545</v>
      </c>
      <c r="U492" s="252">
        <v>11392.360886755436</v>
      </c>
      <c r="V492" s="252">
        <v>9892.5269903521457</v>
      </c>
      <c r="W492" s="252">
        <v>9133.9525460958939</v>
      </c>
      <c r="X492" s="252">
        <v>7096.2081473570997</v>
      </c>
    </row>
    <row r="494" spans="1:24">
      <c r="A494" s="292" t="s">
        <v>658</v>
      </c>
    </row>
    <row r="495" spans="1:24">
      <c r="A495" s="333">
        <v>36314</v>
      </c>
    </row>
    <row r="496" spans="1:24" ht="12.75">
      <c r="A496" s="308" t="s">
        <v>416</v>
      </c>
      <c r="B496" s="309">
        <v>44449.167208780855</v>
      </c>
      <c r="C496" s="247"/>
      <c r="D496" s="247"/>
      <c r="E496" s="247"/>
      <c r="F496" s="247"/>
      <c r="G496" s="247"/>
      <c r="H496" s="247"/>
      <c r="I496" s="247"/>
      <c r="J496" s="247"/>
      <c r="K496" s="247"/>
      <c r="L496" s="247"/>
      <c r="M496" s="247"/>
      <c r="N496" s="247"/>
      <c r="O496" s="247"/>
      <c r="P496" s="247"/>
      <c r="Q496" s="247"/>
      <c r="R496" s="247"/>
      <c r="S496" s="247"/>
      <c r="T496" s="247"/>
      <c r="U496" s="247"/>
      <c r="V496" s="247"/>
      <c r="W496" s="247"/>
      <c r="X496" s="247"/>
    </row>
    <row r="497" spans="1:24" ht="12.75">
      <c r="A497" s="310" t="s">
        <v>417</v>
      </c>
      <c r="B497" s="311">
        <v>78775.362789369639</v>
      </c>
      <c r="C497" s="247"/>
      <c r="D497" s="247"/>
      <c r="E497" s="247"/>
      <c r="F497" s="247"/>
      <c r="G497" s="247"/>
      <c r="H497" s="247"/>
      <c r="I497" s="247"/>
      <c r="J497" s="247"/>
      <c r="K497" s="247"/>
      <c r="L497" s="247"/>
      <c r="M497" s="247"/>
      <c r="N497" s="247"/>
      <c r="O497" s="247"/>
      <c r="P497" s="247"/>
      <c r="Q497" s="247"/>
      <c r="R497" s="247"/>
      <c r="S497" s="247"/>
      <c r="T497" s="247"/>
      <c r="U497" s="247"/>
      <c r="V497" s="247"/>
      <c r="W497" s="247"/>
      <c r="X497" s="247"/>
    </row>
    <row r="498" spans="1:24" ht="12.75">
      <c r="A498" s="312" t="s">
        <v>418</v>
      </c>
      <c r="B498" s="387" t="s">
        <v>469</v>
      </c>
      <c r="C498" s="387" t="s">
        <v>470</v>
      </c>
      <c r="D498" s="389">
        <v>2000</v>
      </c>
      <c r="E498" s="390">
        <v>2001</v>
      </c>
      <c r="F498" s="390">
        <v>2002</v>
      </c>
      <c r="G498" s="390">
        <v>2003</v>
      </c>
      <c r="H498" s="390">
        <v>2004</v>
      </c>
      <c r="I498" s="390">
        <v>2005</v>
      </c>
      <c r="J498" s="390">
        <v>2006</v>
      </c>
      <c r="K498" s="390">
        <v>2007</v>
      </c>
      <c r="L498" s="390">
        <v>2008</v>
      </c>
      <c r="M498" s="390">
        <v>2009</v>
      </c>
      <c r="N498" s="391">
        <v>2010</v>
      </c>
      <c r="O498" s="248">
        <v>2011</v>
      </c>
      <c r="P498" s="248">
        <v>2012</v>
      </c>
      <c r="Q498" s="248">
        <v>2013</v>
      </c>
      <c r="R498" s="248">
        <v>2014</v>
      </c>
      <c r="S498" s="248">
        <v>2015</v>
      </c>
      <c r="T498" s="248">
        <v>2016</v>
      </c>
      <c r="U498" s="248">
        <v>2017</v>
      </c>
      <c r="V498" s="248">
        <v>2018</v>
      </c>
      <c r="W498" s="248">
        <v>2019</v>
      </c>
      <c r="X498" s="248">
        <v>2020</v>
      </c>
    </row>
    <row r="499" spans="1:24" ht="12.75">
      <c r="A499" s="312" t="s">
        <v>419</v>
      </c>
      <c r="B499" s="388">
        <f>NPV(0.1,D499:Y499)</f>
        <v>435633.19539012917</v>
      </c>
      <c r="C499" s="388">
        <f>B499-B489</f>
        <v>112.24990255222656</v>
      </c>
      <c r="D499" s="392">
        <v>34109.12068242448</v>
      </c>
      <c r="E499" s="393">
        <v>44408.742077610565</v>
      </c>
      <c r="F499" s="393">
        <v>44505.825275858122</v>
      </c>
      <c r="G499" s="393">
        <v>48746.611970106911</v>
      </c>
      <c r="H499" s="393">
        <v>52037.221067520521</v>
      </c>
      <c r="I499" s="393">
        <v>52504.379164684804</v>
      </c>
      <c r="J499" s="393">
        <v>52967.616589040597</v>
      </c>
      <c r="K499" s="393">
        <v>54065.53827367106</v>
      </c>
      <c r="L499" s="393">
        <v>54538.141990572156</v>
      </c>
      <c r="M499" s="393">
        <v>55683.179437248553</v>
      </c>
      <c r="N499" s="394">
        <v>56164.224621904439</v>
      </c>
      <c r="O499" s="252">
        <v>57358.044547520818</v>
      </c>
      <c r="P499" s="252">
        <v>57846.806573312737</v>
      </c>
      <c r="Q499" s="252">
        <v>58328.005284950632</v>
      </c>
      <c r="R499" s="252">
        <v>58800.746997762049</v>
      </c>
      <c r="S499" s="252">
        <v>59264.091212976899</v>
      </c>
      <c r="T499" s="252">
        <v>59717.048613197898</v>
      </c>
      <c r="U499" s="252">
        <v>60158.578979731697</v>
      </c>
      <c r="V499" s="252">
        <v>60587.589028896859</v>
      </c>
      <c r="W499" s="252">
        <v>61002.930164321406</v>
      </c>
      <c r="X499" s="252">
        <v>26508.260086770872</v>
      </c>
    </row>
    <row r="500" spans="1:24" ht="12.75">
      <c r="A500" s="313" t="s">
        <v>420</v>
      </c>
      <c r="B500" s="388">
        <f>NPV(0.1,D500:Y500)</f>
        <v>201197.87665287423</v>
      </c>
      <c r="C500" s="388">
        <f>B500-B490</f>
        <v>0</v>
      </c>
      <c r="D500" s="392">
        <v>21320.005290189183</v>
      </c>
      <c r="E500" s="393">
        <v>22349.040520669387</v>
      </c>
      <c r="F500" s="393">
        <v>22512.497991328706</v>
      </c>
      <c r="G500" s="393">
        <v>22805.246259159838</v>
      </c>
      <c r="H500" s="393">
        <v>22936.517465119952</v>
      </c>
      <c r="I500" s="393">
        <v>23127.176768112789</v>
      </c>
      <c r="J500" s="393">
        <v>23323.692348635403</v>
      </c>
      <c r="K500" s="393">
        <v>23526.421481173704</v>
      </c>
      <c r="L500" s="393">
        <v>23735.232487688154</v>
      </c>
      <c r="M500" s="393">
        <v>23950.307824398034</v>
      </c>
      <c r="N500" s="394">
        <v>24171.835421209209</v>
      </c>
      <c r="O500" s="252">
        <v>24400.00884592472</v>
      </c>
      <c r="P500" s="252">
        <v>24635.027473381695</v>
      </c>
      <c r="Q500" s="252">
        <v>24877.096659662388</v>
      </c>
      <c r="R500" s="252">
        <v>25126.427921531493</v>
      </c>
      <c r="S500" s="252">
        <v>25383.239121256676</v>
      </c>
      <c r="T500" s="252">
        <v>25647.754656973611</v>
      </c>
      <c r="U500" s="252">
        <v>25920.205658762054</v>
      </c>
      <c r="V500" s="252">
        <v>26200.830190604152</v>
      </c>
      <c r="W500" s="252">
        <v>26489.873458401507</v>
      </c>
      <c r="X500" s="252">
        <v>13946.468808866621</v>
      </c>
    </row>
    <row r="501" spans="1:24" ht="12.75">
      <c r="A501" s="313" t="s">
        <v>35</v>
      </c>
      <c r="B501" s="388">
        <f>NPV(0.1,D501:Y501)</f>
        <v>83947.63873940843</v>
      </c>
      <c r="C501" s="388">
        <f>B501-B491</f>
        <v>67.779823580058292</v>
      </c>
      <c r="D501" s="392">
        <v>331.04839990852497</v>
      </c>
      <c r="E501" s="393">
        <v>4863.4073185951165</v>
      </c>
      <c r="F501" s="393">
        <v>5019.7989015282437</v>
      </c>
      <c r="G501" s="393">
        <v>7681.5892286397002</v>
      </c>
      <c r="H501" s="393">
        <v>9948.5159369407847</v>
      </c>
      <c r="I501" s="393">
        <v>10485.698194589371</v>
      </c>
      <c r="J501" s="393">
        <v>10976.049611037168</v>
      </c>
      <c r="K501" s="393">
        <v>11775.684438276056</v>
      </c>
      <c r="L501" s="393">
        <v>12194.061296410351</v>
      </c>
      <c r="M501" s="393">
        <v>13177.445372411272</v>
      </c>
      <c r="N501" s="394">
        <v>13869.484531134924</v>
      </c>
      <c r="O501" s="252">
        <v>14581.019397023365</v>
      </c>
      <c r="P501" s="252">
        <v>14894.79824521264</v>
      </c>
      <c r="Q501" s="252">
        <v>15199.752803048603</v>
      </c>
      <c r="R501" s="252">
        <v>15495.215717092837</v>
      </c>
      <c r="S501" s="252">
        <v>15780.487534561897</v>
      </c>
      <c r="T501" s="252">
        <v>16054.835377984797</v>
      </c>
      <c r="U501" s="252">
        <v>16478.052620496688</v>
      </c>
      <c r="V501" s="252">
        <v>16952.998724093399</v>
      </c>
      <c r="W501" s="252">
        <v>17510.944279837138</v>
      </c>
      <c r="X501" s="252">
        <v>4828.1175167683996</v>
      </c>
    </row>
    <row r="502" spans="1:24" ht="12.75">
      <c r="A502" s="313" t="s">
        <v>32</v>
      </c>
      <c r="B502" s="388">
        <f>NPV(0.1,D502:Y502)</f>
        <v>90008.805211559127</v>
      </c>
      <c r="C502" s="388">
        <f>B502-B492</f>
        <v>67.77982358004374</v>
      </c>
      <c r="D502" s="395">
        <v>-1173.3392193617619</v>
      </c>
      <c r="E502" s="396">
        <v>8334.7475139029393</v>
      </c>
      <c r="F502" s="396">
        <v>6794.4345005860314</v>
      </c>
      <c r="G502" s="396">
        <v>9455.1673798339161</v>
      </c>
      <c r="H502" s="396">
        <v>12777.228144660614</v>
      </c>
      <c r="I502" s="396">
        <v>12397.885937617451</v>
      </c>
      <c r="J502" s="396">
        <v>11854.54098798704</v>
      </c>
      <c r="K502" s="396">
        <v>12660.353684905063</v>
      </c>
      <c r="L502" s="396">
        <v>9467.4526733602252</v>
      </c>
      <c r="M502" s="396">
        <v>7996.2046190402834</v>
      </c>
      <c r="N502" s="397">
        <v>17694.815908084798</v>
      </c>
      <c r="O502" s="252">
        <v>17754.268643652384</v>
      </c>
      <c r="P502" s="252">
        <v>18061.869622162514</v>
      </c>
      <c r="Q502" s="252">
        <v>18373.002049677616</v>
      </c>
      <c r="R502" s="252">
        <v>18662.287094042716</v>
      </c>
      <c r="S502" s="252">
        <v>17125.087356166208</v>
      </c>
      <c r="T502" s="252">
        <v>12285.663644243545</v>
      </c>
      <c r="U502" s="252">
        <v>11392.360886755436</v>
      </c>
      <c r="V502" s="252">
        <v>9892.5269903521457</v>
      </c>
      <c r="W502" s="252">
        <v>9133.9525460958939</v>
      </c>
      <c r="X502" s="252">
        <v>7597.7957830271498</v>
      </c>
    </row>
    <row r="504" spans="1:24">
      <c r="A504" s="292" t="s">
        <v>659</v>
      </c>
    </row>
    <row r="505" spans="1:24">
      <c r="A505" s="333">
        <v>36317</v>
      </c>
    </row>
    <row r="506" spans="1:24" ht="12.75">
      <c r="A506" s="308" t="s">
        <v>416</v>
      </c>
      <c r="B506" s="309">
        <v>44449.167208780855</v>
      </c>
      <c r="C506" s="247"/>
      <c r="D506" s="247"/>
      <c r="E506" s="247"/>
      <c r="F506" s="247"/>
      <c r="G506" s="247"/>
      <c r="H506" s="247"/>
      <c r="I506" s="247"/>
      <c r="J506" s="247"/>
      <c r="K506" s="247"/>
      <c r="L506" s="247"/>
      <c r="M506" s="247"/>
      <c r="N506" s="247"/>
      <c r="O506" s="247"/>
      <c r="P506" s="247"/>
      <c r="Q506" s="247"/>
      <c r="R506" s="247"/>
      <c r="S506" s="247"/>
      <c r="T506" s="247"/>
      <c r="U506" s="247"/>
      <c r="V506" s="247"/>
      <c r="W506" s="247"/>
      <c r="X506" s="247"/>
    </row>
    <row r="507" spans="1:24" ht="12.75">
      <c r="A507" s="310" t="s">
        <v>417</v>
      </c>
      <c r="B507" s="311">
        <v>78775.362789369654</v>
      </c>
      <c r="C507" s="247"/>
      <c r="D507" s="247"/>
      <c r="E507" s="247"/>
      <c r="F507" s="247"/>
      <c r="G507" s="247"/>
      <c r="H507" s="247"/>
      <c r="I507" s="247"/>
      <c r="J507" s="247"/>
      <c r="K507" s="247"/>
      <c r="L507" s="247"/>
      <c r="M507" s="247"/>
      <c r="N507" s="247"/>
      <c r="O507" s="247"/>
      <c r="P507" s="247"/>
      <c r="Q507" s="247"/>
      <c r="R507" s="247"/>
      <c r="S507" s="247"/>
      <c r="T507" s="247"/>
      <c r="U507" s="247"/>
      <c r="V507" s="247"/>
      <c r="W507" s="247"/>
      <c r="X507" s="247"/>
    </row>
    <row r="508" spans="1:24" ht="12.75">
      <c r="A508" s="312" t="s">
        <v>418</v>
      </c>
      <c r="B508" s="387" t="s">
        <v>469</v>
      </c>
      <c r="C508" s="387" t="s">
        <v>470</v>
      </c>
      <c r="D508" s="389">
        <v>2000</v>
      </c>
      <c r="E508" s="390">
        <v>2001</v>
      </c>
      <c r="F508" s="390">
        <v>2002</v>
      </c>
      <c r="G508" s="390">
        <v>2003</v>
      </c>
      <c r="H508" s="390">
        <v>2004</v>
      </c>
      <c r="I508" s="390">
        <v>2005</v>
      </c>
      <c r="J508" s="390">
        <v>2006</v>
      </c>
      <c r="K508" s="390">
        <v>2007</v>
      </c>
      <c r="L508" s="390">
        <v>2008</v>
      </c>
      <c r="M508" s="390">
        <v>2009</v>
      </c>
      <c r="N508" s="391">
        <v>2010</v>
      </c>
      <c r="O508" s="248">
        <v>2011</v>
      </c>
      <c r="P508" s="248">
        <v>2012</v>
      </c>
      <c r="Q508" s="248">
        <v>2013</v>
      </c>
      <c r="R508" s="248">
        <v>2014</v>
      </c>
      <c r="S508" s="248">
        <v>2015</v>
      </c>
      <c r="T508" s="248">
        <v>2016</v>
      </c>
      <c r="U508" s="248">
        <v>2017</v>
      </c>
      <c r="V508" s="248">
        <v>2018</v>
      </c>
      <c r="W508" s="248">
        <v>2019</v>
      </c>
      <c r="X508" s="248">
        <v>2020</v>
      </c>
    </row>
    <row r="509" spans="1:24" ht="12.75">
      <c r="A509" s="312" t="s">
        <v>419</v>
      </c>
      <c r="B509" s="388">
        <f>NPV(0.1,D509:Y509)</f>
        <v>437078.73868620227</v>
      </c>
      <c r="C509" s="388">
        <f>B509-B499</f>
        <v>1445.5432960730977</v>
      </c>
      <c r="D509" s="392">
        <v>34276.260743974482</v>
      </c>
      <c r="E509" s="393">
        <v>44575.882139160567</v>
      </c>
      <c r="F509" s="393">
        <v>44672.965337408117</v>
      </c>
      <c r="G509" s="393">
        <v>48913.752031656913</v>
      </c>
      <c r="H509" s="393">
        <v>52204.361129070523</v>
      </c>
      <c r="I509" s="393">
        <v>52671.519226234799</v>
      </c>
      <c r="J509" s="393">
        <v>53134.756650590607</v>
      </c>
      <c r="K509" s="393">
        <v>54232.678335221055</v>
      </c>
      <c r="L509" s="393">
        <v>54705.282052122151</v>
      </c>
      <c r="M509" s="393">
        <v>55850.319498798555</v>
      </c>
      <c r="N509" s="394">
        <v>56331.364683454442</v>
      </c>
      <c r="O509" s="252">
        <v>57525.184609070813</v>
      </c>
      <c r="P509" s="252">
        <v>58013.946634862739</v>
      </c>
      <c r="Q509" s="252">
        <v>58495.145346500627</v>
      </c>
      <c r="R509" s="252">
        <v>58967.887059312052</v>
      </c>
      <c r="S509" s="252">
        <v>59431.231274526901</v>
      </c>
      <c r="T509" s="252">
        <v>59884.188674747893</v>
      </c>
      <c r="U509" s="252">
        <v>60325.719041281693</v>
      </c>
      <c r="V509" s="252">
        <v>60754.729090446868</v>
      </c>
      <c r="W509" s="252">
        <v>61170.070225871401</v>
      </c>
      <c r="X509" s="252">
        <v>26675.40014832087</v>
      </c>
    </row>
    <row r="510" spans="1:24" ht="12.75">
      <c r="A510" s="313" t="s">
        <v>420</v>
      </c>
      <c r="B510" s="388">
        <f>NPV(0.1,D510:Y510)</f>
        <v>202643.41994894724</v>
      </c>
      <c r="C510" s="388">
        <f>B510-B500</f>
        <v>1445.5432960730104</v>
      </c>
      <c r="D510" s="392">
        <v>21487.145351739186</v>
      </c>
      <c r="E510" s="393">
        <v>22516.180582219389</v>
      </c>
      <c r="F510" s="393">
        <v>22679.638052878705</v>
      </c>
      <c r="G510" s="393">
        <v>22972.386320709833</v>
      </c>
      <c r="H510" s="393">
        <v>23103.657526669951</v>
      </c>
      <c r="I510" s="393">
        <v>23294.316829662788</v>
      </c>
      <c r="J510" s="393">
        <v>23490.832410185405</v>
      </c>
      <c r="K510" s="393">
        <v>23693.561542723706</v>
      </c>
      <c r="L510" s="393">
        <v>23902.372549238156</v>
      </c>
      <c r="M510" s="393">
        <v>24117.447885948033</v>
      </c>
      <c r="N510" s="394">
        <v>24338.975482759208</v>
      </c>
      <c r="O510" s="252">
        <v>24567.148907474722</v>
      </c>
      <c r="P510" s="252">
        <v>24802.167534931697</v>
      </c>
      <c r="Q510" s="252">
        <v>25044.236721212386</v>
      </c>
      <c r="R510" s="252">
        <v>25293.567983081495</v>
      </c>
      <c r="S510" s="252">
        <v>25550.379182806675</v>
      </c>
      <c r="T510" s="252">
        <v>25814.89471852361</v>
      </c>
      <c r="U510" s="252">
        <v>26087.345720312052</v>
      </c>
      <c r="V510" s="252">
        <v>26367.970252154151</v>
      </c>
      <c r="W510" s="252">
        <v>26657.013519951506</v>
      </c>
      <c r="X510" s="252">
        <v>14113.608870416621</v>
      </c>
    </row>
    <row r="511" spans="1:24" ht="12.75">
      <c r="A511" s="313" t="s">
        <v>35</v>
      </c>
      <c r="B511" s="388">
        <f>NPV(0.1,D511:Y511)</f>
        <v>83947.63873940843</v>
      </c>
      <c r="C511" s="388">
        <f>B511-B501</f>
        <v>0</v>
      </c>
      <c r="D511" s="392">
        <v>331.04839990852497</v>
      </c>
      <c r="E511" s="393">
        <v>4863.4073185951165</v>
      </c>
      <c r="F511" s="393">
        <v>5019.7989015282437</v>
      </c>
      <c r="G511" s="393">
        <v>7681.5892286397047</v>
      </c>
      <c r="H511" s="393">
        <v>9948.5159369407884</v>
      </c>
      <c r="I511" s="393">
        <v>10485.698194589371</v>
      </c>
      <c r="J511" s="393">
        <v>10976.049611037171</v>
      </c>
      <c r="K511" s="393">
        <v>11775.68443827605</v>
      </c>
      <c r="L511" s="393">
        <v>12194.061296410347</v>
      </c>
      <c r="M511" s="393">
        <v>13177.445372411277</v>
      </c>
      <c r="N511" s="394">
        <v>13869.484531134929</v>
      </c>
      <c r="O511" s="252">
        <v>14581.019397023361</v>
      </c>
      <c r="P511" s="252">
        <v>14894.79824521264</v>
      </c>
      <c r="Q511" s="252">
        <v>15199.752803048603</v>
      </c>
      <c r="R511" s="252">
        <v>15495.215717092837</v>
      </c>
      <c r="S511" s="252">
        <v>15780.487534561897</v>
      </c>
      <c r="T511" s="252">
        <v>16054.835377984797</v>
      </c>
      <c r="U511" s="252">
        <v>16478.052620496681</v>
      </c>
      <c r="V511" s="252">
        <v>16952.998724093406</v>
      </c>
      <c r="W511" s="252">
        <v>17510.944279837138</v>
      </c>
      <c r="X511" s="252">
        <v>4828.1175167683978</v>
      </c>
    </row>
    <row r="512" spans="1:24" ht="12.75">
      <c r="A512" s="313" t="s">
        <v>32</v>
      </c>
      <c r="B512" s="388">
        <f>NPV(0.1,D512:Y512)</f>
        <v>90008.805211559127</v>
      </c>
      <c r="C512" s="388">
        <f>B512-B502</f>
        <v>0</v>
      </c>
      <c r="D512" s="395">
        <v>-1173.3392193617619</v>
      </c>
      <c r="E512" s="396">
        <v>8334.7475139029393</v>
      </c>
      <c r="F512" s="396">
        <v>6794.4345005860314</v>
      </c>
      <c r="G512" s="396">
        <v>9455.1673798339234</v>
      </c>
      <c r="H512" s="396">
        <v>12777.228144660614</v>
      </c>
      <c r="I512" s="396">
        <v>12397.885937617446</v>
      </c>
      <c r="J512" s="396">
        <v>11854.540987987046</v>
      </c>
      <c r="K512" s="396">
        <v>12660.35368490506</v>
      </c>
      <c r="L512" s="396">
        <v>9467.4526733602197</v>
      </c>
      <c r="M512" s="396">
        <v>7996.2046190402889</v>
      </c>
      <c r="N512" s="397">
        <v>17694.815908084802</v>
      </c>
      <c r="O512" s="252">
        <v>17754.268643652373</v>
      </c>
      <c r="P512" s="252">
        <v>18061.869622162514</v>
      </c>
      <c r="Q512" s="252">
        <v>18373.002049677616</v>
      </c>
      <c r="R512" s="252">
        <v>18662.287094042716</v>
      </c>
      <c r="S512" s="252">
        <v>17125.087356166208</v>
      </c>
      <c r="T512" s="252">
        <v>12285.663644243545</v>
      </c>
      <c r="U512" s="252">
        <v>11392.36088675543</v>
      </c>
      <c r="V512" s="252">
        <v>9892.5269903521548</v>
      </c>
      <c r="W512" s="252">
        <v>9133.9525460958939</v>
      </c>
      <c r="X512" s="252">
        <v>7597.795783027148</v>
      </c>
    </row>
    <row r="514" spans="1:24">
      <c r="A514" s="292" t="s">
        <v>660</v>
      </c>
    </row>
    <row r="515" spans="1:24">
      <c r="A515" s="333">
        <v>36343</v>
      </c>
    </row>
    <row r="516" spans="1:24" ht="12.75">
      <c r="A516" s="308" t="s">
        <v>416</v>
      </c>
      <c r="B516" s="309">
        <v>29230.764881086929</v>
      </c>
      <c r="C516" s="247"/>
      <c r="D516" s="247"/>
      <c r="E516" s="247"/>
      <c r="F516" s="247"/>
      <c r="G516" s="247"/>
      <c r="H516" s="247"/>
      <c r="I516" s="247"/>
      <c r="J516" s="247"/>
      <c r="K516" s="247"/>
      <c r="L516" s="247"/>
      <c r="M516" s="247"/>
      <c r="N516" s="247"/>
      <c r="O516" s="247"/>
      <c r="P516" s="247"/>
      <c r="Q516" s="247"/>
      <c r="R516" s="247"/>
      <c r="S516" s="247"/>
      <c r="T516" s="247"/>
      <c r="U516" s="247"/>
      <c r="V516" s="247"/>
      <c r="W516" s="247"/>
      <c r="X516" s="247"/>
    </row>
    <row r="517" spans="1:24" ht="12.75">
      <c r="A517" s="310" t="s">
        <v>417</v>
      </c>
      <c r="B517" s="311">
        <v>59861.511395519228</v>
      </c>
      <c r="C517" s="247"/>
      <c r="D517" s="247"/>
      <c r="E517" s="247"/>
      <c r="F517" s="247"/>
      <c r="G517" s="247"/>
      <c r="H517" s="247"/>
      <c r="I517" s="247"/>
      <c r="J517" s="247"/>
      <c r="K517" s="247"/>
      <c r="L517" s="247"/>
      <c r="M517" s="247"/>
      <c r="N517" s="247"/>
      <c r="O517" s="247"/>
      <c r="P517" s="247"/>
      <c r="Q517" s="247"/>
      <c r="R517" s="247"/>
      <c r="S517" s="247"/>
      <c r="T517" s="247"/>
      <c r="U517" s="247"/>
      <c r="V517" s="247"/>
      <c r="W517" s="247"/>
      <c r="X517" s="247"/>
    </row>
    <row r="518" spans="1:24" ht="12.75">
      <c r="A518" s="312" t="s">
        <v>418</v>
      </c>
      <c r="B518" s="387" t="s">
        <v>469</v>
      </c>
      <c r="C518" s="387" t="s">
        <v>470</v>
      </c>
      <c r="D518" s="389">
        <v>2000</v>
      </c>
      <c r="E518" s="390">
        <v>2001</v>
      </c>
      <c r="F518" s="390">
        <v>2002</v>
      </c>
      <c r="G518" s="390">
        <v>2003</v>
      </c>
      <c r="H518" s="390">
        <v>2004</v>
      </c>
      <c r="I518" s="390">
        <v>2005</v>
      </c>
      <c r="J518" s="390">
        <v>2006</v>
      </c>
      <c r="K518" s="390">
        <v>2007</v>
      </c>
      <c r="L518" s="390">
        <v>2008</v>
      </c>
      <c r="M518" s="390">
        <v>2009</v>
      </c>
      <c r="N518" s="391">
        <v>2010</v>
      </c>
      <c r="O518" s="248">
        <v>2011</v>
      </c>
      <c r="P518" s="248">
        <v>2012</v>
      </c>
      <c r="Q518" s="248">
        <v>2013</v>
      </c>
      <c r="R518" s="248">
        <v>2014</v>
      </c>
      <c r="S518" s="248">
        <v>2015</v>
      </c>
      <c r="T518" s="248">
        <v>2016</v>
      </c>
      <c r="U518" s="248">
        <v>2017</v>
      </c>
      <c r="V518" s="248">
        <v>2018</v>
      </c>
      <c r="W518" s="248">
        <v>2019</v>
      </c>
      <c r="X518" s="248">
        <v>2020</v>
      </c>
    </row>
    <row r="519" spans="1:24" ht="12.75">
      <c r="A519" s="312" t="s">
        <v>419</v>
      </c>
      <c r="B519" s="388">
        <f>NPV(0.1,D519:Y519)</f>
        <v>438471.62883106666</v>
      </c>
      <c r="C519" s="388">
        <f>B519-B509</f>
        <v>1392.8901448643883</v>
      </c>
      <c r="D519" s="392">
        <v>34276.891548001782</v>
      </c>
      <c r="E519" s="393">
        <v>44576.927704550362</v>
      </c>
      <c r="F519" s="393">
        <v>44674.01090279792</v>
      </c>
      <c r="G519" s="393">
        <v>48914.797597046709</v>
      </c>
      <c r="H519" s="393">
        <v>52205.406694460318</v>
      </c>
      <c r="I519" s="393">
        <v>52672.500570894597</v>
      </c>
      <c r="J519" s="393">
        <v>53135.692123300403</v>
      </c>
      <c r="K519" s="393">
        <v>54233.613807930858</v>
      </c>
      <c r="L519" s="393">
        <v>54706.217524831955</v>
      </c>
      <c r="M519" s="393">
        <v>55851.254971508359</v>
      </c>
      <c r="N519" s="394">
        <v>56332.300156164238</v>
      </c>
      <c r="O519" s="252">
        <v>57526.120081780617</v>
      </c>
      <c r="P519" s="252">
        <v>58014.882107572543</v>
      </c>
      <c r="Q519" s="252">
        <v>58496.08081921043</v>
      </c>
      <c r="R519" s="252">
        <v>58968.822532021855</v>
      </c>
      <c r="S519" s="252">
        <v>59432.166747236704</v>
      </c>
      <c r="T519" s="252">
        <v>59885.124147457696</v>
      </c>
      <c r="U519" s="252">
        <v>60326.654513991496</v>
      </c>
      <c r="V519" s="252">
        <v>60755.664563156664</v>
      </c>
      <c r="W519" s="252">
        <v>61171.005698581204</v>
      </c>
      <c r="X519" s="252">
        <v>36923.70853027526</v>
      </c>
    </row>
    <row r="520" spans="1:24" ht="12.75">
      <c r="A520" s="313" t="s">
        <v>420</v>
      </c>
      <c r="B520" s="388">
        <f>NPV(0.1,D520:Y520)</f>
        <v>206379.88219438572</v>
      </c>
      <c r="C520" s="388">
        <f>B520-B510</f>
        <v>3736.4622454384807</v>
      </c>
      <c r="D520" s="392">
        <v>21872.975809883854</v>
      </c>
      <c r="E520" s="393">
        <v>22884.471195567116</v>
      </c>
      <c r="F520" s="393">
        <v>23029.736171781096</v>
      </c>
      <c r="G520" s="393">
        <v>23300.489934955116</v>
      </c>
      <c r="H520" s="393">
        <v>23408.092978265475</v>
      </c>
      <c r="I520" s="393">
        <v>23582.80179390675</v>
      </c>
      <c r="J520" s="393">
        <v>23764.273028542226</v>
      </c>
      <c r="K520" s="393">
        <v>23951.989323949154</v>
      </c>
      <c r="L520" s="393">
        <v>24145.801856526454</v>
      </c>
      <c r="M520" s="393">
        <v>24345.864356104961</v>
      </c>
      <c r="N520" s="394">
        <v>24552.393478978989</v>
      </c>
      <c r="O520" s="252">
        <v>24765.554066563131</v>
      </c>
      <c r="P520" s="252">
        <v>24985.574220082963</v>
      </c>
      <c r="Q520" s="252">
        <v>25212.630569232279</v>
      </c>
      <c r="R520" s="252">
        <v>25446.963357164237</v>
      </c>
      <c r="S520" s="252">
        <v>25693.013225248542</v>
      </c>
      <c r="T520" s="252">
        <v>25951.00457162087</v>
      </c>
      <c r="U520" s="252">
        <v>26216.931384064705</v>
      </c>
      <c r="V520" s="252">
        <v>26491.0317265622</v>
      </c>
      <c r="W520" s="252">
        <v>26773.550805014951</v>
      </c>
      <c r="X520" s="252">
        <v>24468.171250380041</v>
      </c>
    </row>
    <row r="521" spans="1:24" ht="12.75">
      <c r="A521" s="313" t="s">
        <v>35</v>
      </c>
      <c r="B521" s="388">
        <f>NPV(0.1,D521:Y521)</f>
        <v>79973.685982618001</v>
      </c>
      <c r="C521" s="388">
        <f>B521-B511</f>
        <v>-3973.9527567904297</v>
      </c>
      <c r="D521" s="392">
        <v>-93.932492743002598</v>
      </c>
      <c r="E521" s="393">
        <v>4311.8494459695085</v>
      </c>
      <c r="F521" s="393">
        <v>4479.2261971384105</v>
      </c>
      <c r="G521" s="393">
        <v>7154.2974591236834</v>
      </c>
      <c r="H521" s="393">
        <v>9435.5157066812699</v>
      </c>
      <c r="I521" s="393">
        <v>10003.568140324915</v>
      </c>
      <c r="J521" s="393">
        <v>10518.174349592737</v>
      </c>
      <c r="K521" s="393">
        <v>11326.874373585146</v>
      </c>
      <c r="L521" s="393">
        <v>11754.307755549889</v>
      </c>
      <c r="M521" s="393">
        <v>12746.757028304341</v>
      </c>
      <c r="N521" s="394">
        <v>13447.852710858431</v>
      </c>
      <c r="O521" s="252">
        <v>14168.452773500396</v>
      </c>
      <c r="P521" s="252">
        <v>14491.288145520119</v>
      </c>
      <c r="Q521" s="252">
        <v>14805.307900109605</v>
      </c>
      <c r="R521" s="252">
        <v>15109.827337984281</v>
      </c>
      <c r="S521" s="252">
        <v>15401.597166975136</v>
      </c>
      <c r="T521" s="252">
        <v>15679.884509611184</v>
      </c>
      <c r="U521" s="252">
        <v>16107.041251336215</v>
      </c>
      <c r="V521" s="252">
        <v>16585.926854146073</v>
      </c>
      <c r="W521" s="252">
        <v>17147.811909102958</v>
      </c>
      <c r="X521" s="252">
        <v>4470.62963384873</v>
      </c>
    </row>
    <row r="522" spans="1:24" ht="12.75">
      <c r="A522" s="313" t="s">
        <v>32</v>
      </c>
      <c r="B522" s="388">
        <f>NPV(0.1,D522:Y522)</f>
        <v>91685.572663689018</v>
      </c>
      <c r="C522" s="388">
        <f>B522-B512</f>
        <v>1676.7674521298904</v>
      </c>
      <c r="D522" s="395">
        <v>-1535.4993581555973</v>
      </c>
      <c r="E522" s="396">
        <v>7962.911902845537</v>
      </c>
      <c r="F522" s="396">
        <v>6441.0187901545332</v>
      </c>
      <c r="G522" s="396">
        <v>9124.0211053677358</v>
      </c>
      <c r="H522" s="396">
        <v>15784.449349422172</v>
      </c>
      <c r="I522" s="396">
        <v>12646.837007734597</v>
      </c>
      <c r="J522" s="396">
        <v>12080.424795853236</v>
      </c>
      <c r="K522" s="396">
        <v>12895.964436143091</v>
      </c>
      <c r="L522" s="396">
        <v>9711.4582018103865</v>
      </c>
      <c r="M522" s="396">
        <v>8249.9370908622896</v>
      </c>
      <c r="N522" s="397">
        <v>17956.943157118931</v>
      </c>
      <c r="O522" s="252">
        <v>18026.122836058348</v>
      </c>
      <c r="P522" s="252">
        <v>18342.118591780618</v>
      </c>
      <c r="Q522" s="252">
        <v>18662.977962667555</v>
      </c>
      <c r="R522" s="252">
        <v>18960.657784244788</v>
      </c>
      <c r="S522" s="252">
        <v>17234.740805487887</v>
      </c>
      <c r="T522" s="252">
        <v>12204.041340376187</v>
      </c>
      <c r="U522" s="252">
        <v>11314.678082101213</v>
      </c>
      <c r="V522" s="252">
        <v>9818.7836849110736</v>
      </c>
      <c r="W522" s="252">
        <v>9064.1487398679601</v>
      </c>
      <c r="X522" s="252">
        <v>7533.6364646137308</v>
      </c>
    </row>
    <row r="524" spans="1:24">
      <c r="A524" s="292" t="s">
        <v>661</v>
      </c>
    </row>
    <row r="525" spans="1:24">
      <c r="A525" s="333">
        <v>36349</v>
      </c>
    </row>
    <row r="526" spans="1:24" ht="12.75">
      <c r="A526" s="308" t="s">
        <v>416</v>
      </c>
      <c r="B526" s="309">
        <v>30544.871243350935</v>
      </c>
      <c r="C526" s="247"/>
      <c r="D526" s="247"/>
      <c r="E526" s="247"/>
      <c r="F526" s="247"/>
      <c r="G526" s="247"/>
      <c r="H526" s="247"/>
      <c r="I526" s="247"/>
      <c r="J526" s="247"/>
      <c r="K526" s="247"/>
      <c r="L526" s="247"/>
      <c r="M526" s="247"/>
      <c r="N526" s="247"/>
      <c r="O526" s="247"/>
      <c r="P526" s="247"/>
      <c r="Q526" s="247"/>
      <c r="R526" s="247"/>
      <c r="S526" s="247"/>
      <c r="T526" s="247"/>
      <c r="U526" s="247"/>
      <c r="V526" s="247"/>
      <c r="W526" s="247"/>
      <c r="X526" s="247"/>
    </row>
    <row r="527" spans="1:24" ht="12.75">
      <c r="A527" s="310" t="s">
        <v>417</v>
      </c>
      <c r="B527" s="311">
        <v>61877.331627362699</v>
      </c>
      <c r="C527" s="247"/>
      <c r="D527" s="247"/>
      <c r="E527" s="247"/>
      <c r="F527" s="247"/>
      <c r="G527" s="247"/>
      <c r="H527" s="247"/>
      <c r="I527" s="247"/>
      <c r="J527" s="247"/>
      <c r="K527" s="247"/>
      <c r="L527" s="247"/>
      <c r="M527" s="247"/>
      <c r="N527" s="247"/>
      <c r="O527" s="247"/>
      <c r="P527" s="247"/>
      <c r="Q527" s="247"/>
      <c r="R527" s="247"/>
      <c r="S527" s="247"/>
      <c r="T527" s="247"/>
      <c r="U527" s="247"/>
      <c r="V527" s="247"/>
      <c r="W527" s="247"/>
      <c r="X527" s="247"/>
    </row>
    <row r="528" spans="1:24" ht="12.75">
      <c r="A528" s="312" t="s">
        <v>418</v>
      </c>
      <c r="B528" s="387" t="s">
        <v>469</v>
      </c>
      <c r="C528" s="387" t="s">
        <v>470</v>
      </c>
      <c r="D528" s="389">
        <v>2000</v>
      </c>
      <c r="E528" s="390">
        <v>2001</v>
      </c>
      <c r="F528" s="390">
        <v>2002</v>
      </c>
      <c r="G528" s="390">
        <v>2003</v>
      </c>
      <c r="H528" s="390">
        <v>2004</v>
      </c>
      <c r="I528" s="390">
        <v>2005</v>
      </c>
      <c r="J528" s="390">
        <v>2006</v>
      </c>
      <c r="K528" s="390">
        <v>2007</v>
      </c>
      <c r="L528" s="390">
        <v>2008</v>
      </c>
      <c r="M528" s="390">
        <v>2009</v>
      </c>
      <c r="N528" s="391">
        <v>2010</v>
      </c>
      <c r="O528" s="248">
        <v>2011</v>
      </c>
      <c r="P528" s="248">
        <v>2012</v>
      </c>
      <c r="Q528" s="248">
        <v>2013</v>
      </c>
      <c r="R528" s="248">
        <v>2014</v>
      </c>
      <c r="S528" s="248">
        <v>2015</v>
      </c>
      <c r="T528" s="248">
        <v>2016</v>
      </c>
      <c r="U528" s="248">
        <v>2017</v>
      </c>
      <c r="V528" s="248">
        <v>2018</v>
      </c>
      <c r="W528" s="248">
        <v>2019</v>
      </c>
      <c r="X528" s="248">
        <v>2020</v>
      </c>
    </row>
    <row r="529" spans="1:24" ht="12.75">
      <c r="A529" s="312" t="s">
        <v>419</v>
      </c>
      <c r="B529" s="388">
        <f>NPV(0.1,D529:Y529)</f>
        <v>438471.62883106666</v>
      </c>
      <c r="C529" s="388">
        <f>B529-B519</f>
        <v>0</v>
      </c>
      <c r="D529" s="392">
        <v>34276.891548001782</v>
      </c>
      <c r="E529" s="393">
        <v>44576.927704550362</v>
      </c>
      <c r="F529" s="393">
        <v>44674.01090279792</v>
      </c>
      <c r="G529" s="393">
        <v>48914.797597046709</v>
      </c>
      <c r="H529" s="393">
        <v>52205.406694460318</v>
      </c>
      <c r="I529" s="393">
        <v>52672.500570894597</v>
      </c>
      <c r="J529" s="393">
        <v>53135.692123300403</v>
      </c>
      <c r="K529" s="393">
        <v>54233.613807930858</v>
      </c>
      <c r="L529" s="393">
        <v>54706.217524831955</v>
      </c>
      <c r="M529" s="393">
        <v>55851.254971508359</v>
      </c>
      <c r="N529" s="394">
        <v>56332.300156164238</v>
      </c>
      <c r="O529" s="252">
        <v>57526.120081780617</v>
      </c>
      <c r="P529" s="252">
        <v>58014.882107572543</v>
      </c>
      <c r="Q529" s="252">
        <v>58496.08081921043</v>
      </c>
      <c r="R529" s="252">
        <v>58968.822532021855</v>
      </c>
      <c r="S529" s="252">
        <v>59432.166747236704</v>
      </c>
      <c r="T529" s="252">
        <v>59885.124147457696</v>
      </c>
      <c r="U529" s="252">
        <v>60326.654513991496</v>
      </c>
      <c r="V529" s="252">
        <v>60755.664563156664</v>
      </c>
      <c r="W529" s="252">
        <v>61171.005698581204</v>
      </c>
      <c r="X529" s="252">
        <v>36923.70853027526</v>
      </c>
    </row>
    <row r="530" spans="1:24" ht="12.75">
      <c r="A530" s="313" t="s">
        <v>420</v>
      </c>
      <c r="B530" s="388">
        <f>NPV(0.1,D530:Y530)</f>
        <v>204276.82127088771</v>
      </c>
      <c r="C530" s="388">
        <f>B530-B520</f>
        <v>-2103.0609234980075</v>
      </c>
      <c r="D530" s="392">
        <v>21515.630666766487</v>
      </c>
      <c r="E530" s="393">
        <v>22545.080658609189</v>
      </c>
      <c r="F530" s="393">
        <v>22708.538129268505</v>
      </c>
      <c r="G530" s="393">
        <v>23001.286397099637</v>
      </c>
      <c r="H530" s="393">
        <v>23132.557603059751</v>
      </c>
      <c r="I530" s="393">
        <v>23323.152685322588</v>
      </c>
      <c r="J530" s="393">
        <v>23519.62239389521</v>
      </c>
      <c r="K530" s="393">
        <v>23722.351526433507</v>
      </c>
      <c r="L530" s="393">
        <v>23931.162532947954</v>
      </c>
      <c r="M530" s="393">
        <v>24146.237869657834</v>
      </c>
      <c r="N530" s="394">
        <v>24367.765466469009</v>
      </c>
      <c r="O530" s="252">
        <v>24595.938891184524</v>
      </c>
      <c r="P530" s="252">
        <v>24830.957518641502</v>
      </c>
      <c r="Q530" s="252">
        <v>25073.026704922187</v>
      </c>
      <c r="R530" s="252">
        <v>25322.357966791296</v>
      </c>
      <c r="S530" s="252">
        <v>25579.169166516476</v>
      </c>
      <c r="T530" s="252">
        <v>25843.684702233411</v>
      </c>
      <c r="U530" s="252">
        <v>26116.135704021854</v>
      </c>
      <c r="V530" s="252">
        <v>26396.760235863952</v>
      </c>
      <c r="W530" s="252">
        <v>26685.803503661311</v>
      </c>
      <c r="X530" s="252">
        <v>24386.856263371006</v>
      </c>
    </row>
    <row r="531" spans="1:24" ht="12.75">
      <c r="A531" s="313" t="s">
        <v>35</v>
      </c>
      <c r="B531" s="388">
        <f>NPV(0.1,D531:Y531)</f>
        <v>81243.576602847243</v>
      </c>
      <c r="C531" s="388">
        <f>B531-B521</f>
        <v>1269.8906202292419</v>
      </c>
      <c r="D531" s="392">
        <v>121.84311335520033</v>
      </c>
      <c r="E531" s="393">
        <v>4516.7835278412676</v>
      </c>
      <c r="F531" s="393">
        <v>4673.1751107744003</v>
      </c>
      <c r="G531" s="393">
        <v>7334.9654378858522</v>
      </c>
      <c r="H531" s="393">
        <v>9601.8921461869395</v>
      </c>
      <c r="I531" s="393">
        <v>10160.351980420941</v>
      </c>
      <c r="J531" s="393">
        <v>10665.901665858322</v>
      </c>
      <c r="K531" s="393">
        <v>11465.536493097206</v>
      </c>
      <c r="L531" s="393">
        <v>11883.913351231506</v>
      </c>
      <c r="M531" s="393">
        <v>12867.297427232434</v>
      </c>
      <c r="N531" s="394">
        <v>13559.33658595608</v>
      </c>
      <c r="O531" s="252">
        <v>14270.871451844518</v>
      </c>
      <c r="P531" s="252">
        <v>14584.650300033796</v>
      </c>
      <c r="Q531" s="252">
        <v>14889.604857869759</v>
      </c>
      <c r="R531" s="252">
        <v>15185.067771913993</v>
      </c>
      <c r="S531" s="252">
        <v>15470.339589383051</v>
      </c>
      <c r="T531" s="252">
        <v>15744.687432805953</v>
      </c>
      <c r="U531" s="252">
        <v>16167.904675317839</v>
      </c>
      <c r="V531" s="252">
        <v>16642.850778914555</v>
      </c>
      <c r="W531" s="252">
        <v>17200.796334658298</v>
      </c>
      <c r="X531" s="252">
        <v>4519.7300370434623</v>
      </c>
    </row>
    <row r="532" spans="1:24" ht="12.75">
      <c r="A532" s="313" t="s">
        <v>32</v>
      </c>
      <c r="B532" s="388">
        <f>NPV(0.1,D532:Y532)</f>
        <v>93050.760927447103</v>
      </c>
      <c r="C532" s="388">
        <f>B532-B522</f>
        <v>1365.1882637580857</v>
      </c>
      <c r="D532" s="395">
        <v>-1173.6874007492625</v>
      </c>
      <c r="E532" s="396">
        <v>8306.5448215154374</v>
      </c>
      <c r="F532" s="396">
        <v>6766.2318081985331</v>
      </c>
      <c r="G532" s="396">
        <v>9426.964687446407</v>
      </c>
      <c r="H532" s="396">
        <v>15412.550893097061</v>
      </c>
      <c r="I532" s="396">
        <v>12803.620847830622</v>
      </c>
      <c r="J532" s="396">
        <v>12228.15211211882</v>
      </c>
      <c r="K532" s="396">
        <v>13034.626555655155</v>
      </c>
      <c r="L532" s="396">
        <v>9841.0637974920046</v>
      </c>
      <c r="M532" s="396">
        <v>8370.4774897903826</v>
      </c>
      <c r="N532" s="397">
        <v>18068.427032216579</v>
      </c>
      <c r="O532" s="252">
        <v>18128.541514402466</v>
      </c>
      <c r="P532" s="252">
        <v>18435.480746294303</v>
      </c>
      <c r="Q532" s="252">
        <v>18747.274920427706</v>
      </c>
      <c r="R532" s="252">
        <v>19035.898218174494</v>
      </c>
      <c r="S532" s="252">
        <v>17303.483227895798</v>
      </c>
      <c r="T532" s="252">
        <v>12268.844263570954</v>
      </c>
      <c r="U532" s="252">
        <v>11375.541506082842</v>
      </c>
      <c r="V532" s="252">
        <v>9875.7076096795554</v>
      </c>
      <c r="W532" s="252">
        <v>9117.1331654232963</v>
      </c>
      <c r="X532" s="252">
        <v>7582.7368678084631</v>
      </c>
    </row>
    <row r="534" spans="1:24">
      <c r="A534" s="292" t="s">
        <v>664</v>
      </c>
    </row>
    <row r="535" spans="1:24">
      <c r="A535" s="333">
        <v>36362</v>
      </c>
    </row>
    <row r="536" spans="1:24" ht="12.75">
      <c r="A536" s="308" t="s">
        <v>416</v>
      </c>
      <c r="B536" s="309">
        <v>30377.790111630224</v>
      </c>
      <c r="C536" s="247"/>
      <c r="D536" s="247"/>
      <c r="E536" s="247"/>
      <c r="F536" s="247"/>
      <c r="G536" s="247"/>
      <c r="H536" s="247"/>
      <c r="I536" s="247"/>
      <c r="J536" s="247"/>
      <c r="K536" s="247"/>
      <c r="L536" s="247"/>
      <c r="M536" s="247"/>
      <c r="N536" s="247"/>
      <c r="O536" s="247"/>
      <c r="P536" s="247"/>
      <c r="Q536" s="247"/>
      <c r="R536" s="247"/>
      <c r="S536" s="247"/>
      <c r="T536" s="247"/>
      <c r="U536" s="247"/>
      <c r="V536" s="247"/>
      <c r="W536" s="247"/>
      <c r="X536" s="247"/>
    </row>
    <row r="537" spans="1:24" ht="12.75">
      <c r="A537" s="310" t="s">
        <v>417</v>
      </c>
      <c r="B537" s="311">
        <v>61853.738627362683</v>
      </c>
      <c r="C537" s="247"/>
      <c r="D537" s="247"/>
      <c r="E537" s="247"/>
      <c r="F537" s="247"/>
      <c r="G537" s="247"/>
      <c r="H537" s="247"/>
      <c r="I537" s="247"/>
      <c r="J537" s="247"/>
      <c r="K537" s="247"/>
      <c r="L537" s="247"/>
      <c r="M537" s="247"/>
      <c r="N537" s="247"/>
      <c r="O537" s="247"/>
      <c r="P537" s="247"/>
      <c r="Q537" s="247"/>
      <c r="R537" s="247"/>
      <c r="S537" s="247"/>
      <c r="T537" s="247"/>
      <c r="U537" s="247"/>
      <c r="V537" s="247"/>
      <c r="W537" s="247"/>
      <c r="X537" s="247"/>
    </row>
    <row r="538" spans="1:24" ht="12.75">
      <c r="A538" s="312" t="s">
        <v>418</v>
      </c>
      <c r="B538" s="387" t="s">
        <v>469</v>
      </c>
      <c r="C538" s="387" t="s">
        <v>470</v>
      </c>
      <c r="D538" s="389">
        <v>2000</v>
      </c>
      <c r="E538" s="390">
        <v>2001</v>
      </c>
      <c r="F538" s="390">
        <v>2002</v>
      </c>
      <c r="G538" s="390">
        <v>2003</v>
      </c>
      <c r="H538" s="390">
        <v>2004</v>
      </c>
      <c r="I538" s="390">
        <v>2005</v>
      </c>
      <c r="J538" s="390">
        <v>2006</v>
      </c>
      <c r="K538" s="390">
        <v>2007</v>
      </c>
      <c r="L538" s="390">
        <v>2008</v>
      </c>
      <c r="M538" s="390">
        <v>2009</v>
      </c>
      <c r="N538" s="391">
        <v>2010</v>
      </c>
      <c r="O538" s="248">
        <v>2011</v>
      </c>
      <c r="P538" s="248">
        <v>2012</v>
      </c>
      <c r="Q538" s="248">
        <v>2013</v>
      </c>
      <c r="R538" s="248">
        <v>2014</v>
      </c>
      <c r="S538" s="248">
        <v>2015</v>
      </c>
      <c r="T538" s="248">
        <v>2016</v>
      </c>
      <c r="U538" s="248">
        <v>2017</v>
      </c>
      <c r="V538" s="248">
        <v>2018</v>
      </c>
      <c r="W538" s="248">
        <v>2019</v>
      </c>
      <c r="X538" s="248">
        <v>2020</v>
      </c>
    </row>
    <row r="539" spans="1:24" ht="12.75">
      <c r="A539" s="312" t="s">
        <v>419</v>
      </c>
      <c r="B539" s="388">
        <f>NPV(0.1,D539:Y539)</f>
        <v>438470.79923256015</v>
      </c>
      <c r="C539" s="388">
        <f>B539-B529</f>
        <v>-0.82959850650513545</v>
      </c>
      <c r="D539" s="392">
        <v>34276.75591567978</v>
      </c>
      <c r="E539" s="393">
        <v>44576.695191998362</v>
      </c>
      <c r="F539" s="393">
        <v>44673.77839024592</v>
      </c>
      <c r="G539" s="393">
        <v>48914.565084494709</v>
      </c>
      <c r="H539" s="393">
        <v>52205.174181908318</v>
      </c>
      <c r="I539" s="393">
        <v>52672.406015112603</v>
      </c>
      <c r="J539" s="393">
        <v>53135.696108068405</v>
      </c>
      <c r="K539" s="393">
        <v>54233.617792698853</v>
      </c>
      <c r="L539" s="393">
        <v>54706.221509599949</v>
      </c>
      <c r="M539" s="393">
        <v>55851.258956276353</v>
      </c>
      <c r="N539" s="394">
        <v>56332.30414093224</v>
      </c>
      <c r="O539" s="252">
        <v>57526.124066548618</v>
      </c>
      <c r="P539" s="252">
        <v>58014.886092340537</v>
      </c>
      <c r="Q539" s="252">
        <v>58496.084803978432</v>
      </c>
      <c r="R539" s="252">
        <v>58968.82651678985</v>
      </c>
      <c r="S539" s="252">
        <v>59432.170732004699</v>
      </c>
      <c r="T539" s="252">
        <v>59885.128132225698</v>
      </c>
      <c r="U539" s="252">
        <v>60326.658498759498</v>
      </c>
      <c r="V539" s="252">
        <v>60755.668547924666</v>
      </c>
      <c r="W539" s="252">
        <v>61171.009683349206</v>
      </c>
      <c r="X539" s="252">
        <v>36923.712515043262</v>
      </c>
    </row>
    <row r="540" spans="1:24" ht="12.75">
      <c r="A540" s="313" t="s">
        <v>420</v>
      </c>
      <c r="B540" s="388">
        <f>NPV(0.1,D540:Y540)</f>
        <v>204275.99167238121</v>
      </c>
      <c r="C540" s="388">
        <f>B540-B530</f>
        <v>-0.82959850650513545</v>
      </c>
      <c r="D540" s="392">
        <v>21515.495034444484</v>
      </c>
      <c r="E540" s="393">
        <v>22544.848146057189</v>
      </c>
      <c r="F540" s="393">
        <v>22708.305616716505</v>
      </c>
      <c r="G540" s="393">
        <v>23001.053884547637</v>
      </c>
      <c r="H540" s="393">
        <v>23132.325090507751</v>
      </c>
      <c r="I540" s="393">
        <v>23323.05812954059</v>
      </c>
      <c r="J540" s="393">
        <v>23519.626378663212</v>
      </c>
      <c r="K540" s="393">
        <v>23722.355511201509</v>
      </c>
      <c r="L540" s="393">
        <v>23931.166517715956</v>
      </c>
      <c r="M540" s="393">
        <v>24146.241854425836</v>
      </c>
      <c r="N540" s="394">
        <v>24367.769451237011</v>
      </c>
      <c r="O540" s="252">
        <v>24595.942875952522</v>
      </c>
      <c r="P540" s="252">
        <v>24830.9615034095</v>
      </c>
      <c r="Q540" s="252">
        <v>25073.030689690189</v>
      </c>
      <c r="R540" s="252">
        <v>25322.361951559298</v>
      </c>
      <c r="S540" s="252">
        <v>25579.173151284478</v>
      </c>
      <c r="T540" s="252">
        <v>25843.688687001413</v>
      </c>
      <c r="U540" s="252">
        <v>26116.139688789855</v>
      </c>
      <c r="V540" s="252">
        <v>26396.764220631954</v>
      </c>
      <c r="W540" s="252">
        <v>26685.807488429309</v>
      </c>
      <c r="X540" s="252">
        <v>24386.860248139008</v>
      </c>
    </row>
    <row r="541" spans="1:24" ht="12.75">
      <c r="A541" s="313" t="s">
        <v>35</v>
      </c>
      <c r="B541" s="388">
        <f>NPV(0.1,D541:Y541)</f>
        <v>81518.438719155864</v>
      </c>
      <c r="C541" s="388">
        <f>B541-B531</f>
        <v>274.8621163086209</v>
      </c>
      <c r="D541" s="392">
        <v>166.78073892894957</v>
      </c>
      <c r="E541" s="393">
        <v>4593.8194573962683</v>
      </c>
      <c r="F541" s="393">
        <v>4750.2110403294</v>
      </c>
      <c r="G541" s="393">
        <v>7412.0013674408528</v>
      </c>
      <c r="H541" s="393">
        <v>9678.9280757419383</v>
      </c>
      <c r="I541" s="393">
        <v>10191.680149582193</v>
      </c>
      <c r="J541" s="393">
        <v>10664.581434738324</v>
      </c>
      <c r="K541" s="393">
        <v>11464.216261977203</v>
      </c>
      <c r="L541" s="393">
        <v>11882.593120111498</v>
      </c>
      <c r="M541" s="393">
        <v>12865.977196112428</v>
      </c>
      <c r="N541" s="394">
        <v>13558.016354836076</v>
      </c>
      <c r="O541" s="252">
        <v>14269.551220724517</v>
      </c>
      <c r="P541" s="252">
        <v>14583.330068913798</v>
      </c>
      <c r="Q541" s="252">
        <v>14888.284626749759</v>
      </c>
      <c r="R541" s="252">
        <v>15183.747540793986</v>
      </c>
      <c r="S541" s="252">
        <v>15469.019358263047</v>
      </c>
      <c r="T541" s="252">
        <v>15743.367201685955</v>
      </c>
      <c r="U541" s="252">
        <v>16166.584444197839</v>
      </c>
      <c r="V541" s="252">
        <v>16641.530547794555</v>
      </c>
      <c r="W541" s="252">
        <v>17199.476103538298</v>
      </c>
      <c r="X541" s="252">
        <v>4518.409805923462</v>
      </c>
    </row>
    <row r="542" spans="1:24" ht="12.75">
      <c r="A542" s="313" t="s">
        <v>32</v>
      </c>
      <c r="B542" s="388">
        <f>NPV(0.1,D542:Y542)</f>
        <v>92901.290982061531</v>
      </c>
      <c r="C542" s="388">
        <f>B542-B532</f>
        <v>-149.46994538557192</v>
      </c>
      <c r="D542" s="395">
        <v>-1173.6874007492625</v>
      </c>
      <c r="E542" s="396">
        <v>8306.5448215154374</v>
      </c>
      <c r="F542" s="396">
        <v>6766.2318081985331</v>
      </c>
      <c r="G542" s="396">
        <v>9426.9646874464106</v>
      </c>
      <c r="H542" s="396">
        <v>15180.713768923611</v>
      </c>
      <c r="I542" s="396">
        <v>12783.380059752677</v>
      </c>
      <c r="J542" s="396">
        <v>12229.909385582821</v>
      </c>
      <c r="K542" s="396">
        <v>13036.386807548752</v>
      </c>
      <c r="L542" s="396">
        <v>9842.8210709559971</v>
      </c>
      <c r="M542" s="396">
        <v>8372.237741683979</v>
      </c>
      <c r="N542" s="397">
        <v>18070.184305680574</v>
      </c>
      <c r="O542" s="252">
        <v>18130.30176629607</v>
      </c>
      <c r="P542" s="252">
        <v>18437.238019758297</v>
      </c>
      <c r="Q542" s="252">
        <v>18749.035172321306</v>
      </c>
      <c r="R542" s="252">
        <v>19037.655491638492</v>
      </c>
      <c r="S542" s="252">
        <v>17304.361864627801</v>
      </c>
      <c r="T542" s="252">
        <v>12268.844263570954</v>
      </c>
      <c r="U542" s="252">
        <v>11375.541506082838</v>
      </c>
      <c r="V542" s="252">
        <v>9875.7076096795554</v>
      </c>
      <c r="W542" s="252">
        <v>9117.1331654232999</v>
      </c>
      <c r="X542" s="252">
        <v>7582.7368678084631</v>
      </c>
    </row>
    <row r="544" spans="1:24">
      <c r="A544" s="292" t="s">
        <v>673</v>
      </c>
    </row>
    <row r="545" spans="1:24">
      <c r="A545" s="333">
        <v>36367</v>
      </c>
    </row>
    <row r="546" spans="1:24" ht="12.75">
      <c r="A546" s="308" t="s">
        <v>416</v>
      </c>
      <c r="B546" s="309">
        <v>35925.717831978334</v>
      </c>
      <c r="C546" s="247"/>
      <c r="D546" s="247"/>
      <c r="E546" s="247"/>
      <c r="F546" s="247"/>
      <c r="G546" s="247"/>
      <c r="H546" s="247"/>
      <c r="I546" s="247"/>
      <c r="J546" s="247"/>
      <c r="K546" s="247"/>
      <c r="L546" s="247"/>
      <c r="M546" s="247"/>
      <c r="N546" s="247"/>
      <c r="O546" s="247"/>
      <c r="P546" s="247"/>
      <c r="Q546" s="247"/>
      <c r="R546" s="247"/>
      <c r="S546" s="247"/>
      <c r="T546" s="247"/>
      <c r="U546" s="247"/>
      <c r="V546" s="247"/>
      <c r="W546" s="247"/>
      <c r="X546" s="247"/>
    </row>
    <row r="547" spans="1:24" ht="12.75">
      <c r="A547" s="310" t="s">
        <v>417</v>
      </c>
      <c r="B547" s="311">
        <v>71109.531366368974</v>
      </c>
      <c r="C547" s="247"/>
      <c r="D547" s="247"/>
      <c r="E547" s="247"/>
      <c r="F547" s="247"/>
      <c r="G547" s="247"/>
      <c r="H547" s="247"/>
      <c r="I547" s="247"/>
      <c r="J547" s="247"/>
      <c r="K547" s="247"/>
      <c r="L547" s="247"/>
      <c r="M547" s="247"/>
      <c r="N547" s="247"/>
      <c r="O547" s="247"/>
      <c r="P547" s="247"/>
      <c r="Q547" s="247"/>
      <c r="R547" s="247"/>
      <c r="S547" s="247"/>
      <c r="T547" s="247"/>
      <c r="U547" s="247"/>
      <c r="V547" s="247"/>
      <c r="W547" s="247"/>
      <c r="X547" s="247"/>
    </row>
    <row r="548" spans="1:24" ht="12.75">
      <c r="A548" s="312" t="s">
        <v>418</v>
      </c>
      <c r="B548" s="387" t="s">
        <v>469</v>
      </c>
      <c r="C548" s="387" t="s">
        <v>470</v>
      </c>
      <c r="D548" s="389">
        <v>2000</v>
      </c>
      <c r="E548" s="390">
        <v>2001</v>
      </c>
      <c r="F548" s="390">
        <v>2002</v>
      </c>
      <c r="G548" s="390">
        <v>2003</v>
      </c>
      <c r="H548" s="390">
        <v>2004</v>
      </c>
      <c r="I548" s="390">
        <v>2005</v>
      </c>
      <c r="J548" s="390">
        <v>2006</v>
      </c>
      <c r="K548" s="390">
        <v>2007</v>
      </c>
      <c r="L548" s="390">
        <v>2008</v>
      </c>
      <c r="M548" s="390">
        <v>2009</v>
      </c>
      <c r="N548" s="391">
        <v>2010</v>
      </c>
      <c r="O548" s="248">
        <v>2011</v>
      </c>
      <c r="P548" s="248">
        <v>2012</v>
      </c>
      <c r="Q548" s="248">
        <v>2013</v>
      </c>
      <c r="R548" s="248">
        <v>2014</v>
      </c>
      <c r="S548" s="248">
        <v>2015</v>
      </c>
      <c r="T548" s="248">
        <v>2016</v>
      </c>
      <c r="U548" s="248">
        <v>2017</v>
      </c>
      <c r="V548" s="248">
        <v>2018</v>
      </c>
      <c r="W548" s="248">
        <v>2019</v>
      </c>
      <c r="X548" s="248">
        <v>2020</v>
      </c>
    </row>
    <row r="549" spans="1:24" ht="12.75">
      <c r="A549" s="312" t="s">
        <v>419</v>
      </c>
      <c r="B549" s="388">
        <f>NPV(0.1,D549:Y549)</f>
        <v>452745.48360210453</v>
      </c>
      <c r="C549" s="388">
        <f>B549-B539</f>
        <v>14274.684369544382</v>
      </c>
      <c r="D549" s="392">
        <v>34109.615854129777</v>
      </c>
      <c r="E549" s="393">
        <v>44409.555130448367</v>
      </c>
      <c r="F549" s="393">
        <v>44506.638328695924</v>
      </c>
      <c r="G549" s="393">
        <v>50218.176063519168</v>
      </c>
      <c r="H549" s="393">
        <v>54574.540723567479</v>
      </c>
      <c r="I549" s="393">
        <v>55063.634440581074</v>
      </c>
      <c r="J549" s="393">
        <v>55548.545765177456</v>
      </c>
      <c r="K549" s="393">
        <v>56699.517449847684</v>
      </c>
      <c r="L549" s="393">
        <v>57194.108025334477</v>
      </c>
      <c r="M549" s="393">
        <v>58394.446577809409</v>
      </c>
      <c r="N549" s="394">
        <v>58897.808592317902</v>
      </c>
      <c r="O549" s="252">
        <v>60149.25816180234</v>
      </c>
      <c r="P549" s="252">
        <v>60660.625634133081</v>
      </c>
      <c r="Q549" s="252">
        <v>61164.005363106597</v>
      </c>
      <c r="R549" s="252">
        <v>61658.457853396365</v>
      </c>
      <c r="S549" s="252">
        <v>62142.994428925267</v>
      </c>
      <c r="T549" s="252">
        <v>62616.575127566401</v>
      </c>
      <c r="U549" s="252">
        <v>63078.106513788523</v>
      </c>
      <c r="V549" s="252">
        <v>63526.439406217723</v>
      </c>
      <c r="W549" s="252">
        <v>63960.366516978793</v>
      </c>
      <c r="X549" s="252">
        <v>38508.333690242398</v>
      </c>
    </row>
    <row r="550" spans="1:24" ht="12.75">
      <c r="A550" s="313" t="s">
        <v>420</v>
      </c>
      <c r="B550" s="388">
        <f>NPV(0.1,D550:Y550)</f>
        <v>208039.15713589653</v>
      </c>
      <c r="C550" s="388">
        <f>B550-B540</f>
        <v>3763.1654635153245</v>
      </c>
      <c r="D550" s="392">
        <v>21348.354972894485</v>
      </c>
      <c r="E550" s="393">
        <v>22377.708084507187</v>
      </c>
      <c r="F550" s="393">
        <v>22541.165555166506</v>
      </c>
      <c r="G550" s="393">
        <v>23347.156557946684</v>
      </c>
      <c r="H550" s="393">
        <v>23839.781237701351</v>
      </c>
      <c r="I550" s="393">
        <v>24032.420323156497</v>
      </c>
      <c r="J550" s="393">
        <v>24230.951800094088</v>
      </c>
      <c r="K550" s="393">
        <v>24435.703057281818</v>
      </c>
      <c r="L550" s="393">
        <v>24646.596852185172</v>
      </c>
      <c r="M550" s="393">
        <v>24863.817460935628</v>
      </c>
      <c r="N550" s="394">
        <v>25087.554687948603</v>
      </c>
      <c r="O550" s="252">
        <v>25318.004031771958</v>
      </c>
      <c r="P550" s="252">
        <v>25555.366855910015</v>
      </c>
      <c r="Q550" s="252">
        <v>25799.850564772223</v>
      </c>
      <c r="R550" s="252">
        <v>26051.668784900292</v>
      </c>
      <c r="S550" s="252">
        <v>26311.041551632203</v>
      </c>
      <c r="T550" s="252">
        <v>26578.195501366066</v>
      </c>
      <c r="U550" s="252">
        <v>26853.364069591953</v>
      </c>
      <c r="V550" s="252">
        <v>27136.787694864615</v>
      </c>
      <c r="W550" s="252">
        <v>27428.714028895454</v>
      </c>
      <c r="X550" s="252">
        <v>25112.619656789208</v>
      </c>
    </row>
    <row r="551" spans="1:24" ht="12.75">
      <c r="A551" s="313" t="s">
        <v>35</v>
      </c>
      <c r="B551" s="388">
        <f>NPV(0.1,D551:Y551)</f>
        <v>87865.605895333749</v>
      </c>
      <c r="C551" s="388">
        <f>B551-B541</f>
        <v>6347.1671761778853</v>
      </c>
      <c r="D551" s="392">
        <v>166.78073892894739</v>
      </c>
      <c r="E551" s="393">
        <v>4593.8194573962737</v>
      </c>
      <c r="F551" s="393">
        <v>4750.2110403294027</v>
      </c>
      <c r="G551" s="393">
        <v>7990.1733084052994</v>
      </c>
      <c r="H551" s="393">
        <v>10682.438909885081</v>
      </c>
      <c r="I551" s="393">
        <v>11207.240910778528</v>
      </c>
      <c r="J551" s="393">
        <v>11692.012282241551</v>
      </c>
      <c r="K551" s="393">
        <v>12522.459255531174</v>
      </c>
      <c r="L551" s="393">
        <v>12952.854782152375</v>
      </c>
      <c r="M551" s="393">
        <v>13968.33592864017</v>
      </c>
      <c r="N551" s="394">
        <v>14672.516411445467</v>
      </c>
      <c r="O551" s="252">
        <v>15417.475499657832</v>
      </c>
      <c r="P551" s="252">
        <v>15743.488692017068</v>
      </c>
      <c r="Q551" s="252">
        <v>16060.378846203372</v>
      </c>
      <c r="R551" s="252">
        <v>16367.449672999401</v>
      </c>
      <c r="S551" s="252">
        <v>16663.971316569099</v>
      </c>
      <c r="T551" s="252">
        <v>16949.178967120912</v>
      </c>
      <c r="U551" s="252">
        <v>17382.8324718082</v>
      </c>
      <c r="V551" s="252">
        <v>17867.756106103188</v>
      </c>
      <c r="W551" s="252">
        <v>18435.183544543463</v>
      </c>
      <c r="X551" s="252">
        <v>5037.0160380244051</v>
      </c>
    </row>
    <row r="552" spans="1:24" ht="12.75">
      <c r="A552" s="313" t="s">
        <v>32</v>
      </c>
      <c r="B552" s="388">
        <f>NPV(0.1,D552:Y552)</f>
        <v>99272.755133637358</v>
      </c>
      <c r="C552" s="388">
        <f>B552-B542</f>
        <v>6371.4641515758267</v>
      </c>
      <c r="D552" s="395">
        <v>-1173.6874007492661</v>
      </c>
      <c r="E552" s="396">
        <v>8306.5448215154447</v>
      </c>
      <c r="F552" s="396">
        <v>6766.2318081985368</v>
      </c>
      <c r="G552" s="396">
        <v>10396.441846892141</v>
      </c>
      <c r="H552" s="396">
        <v>15792.919384585464</v>
      </c>
      <c r="I552" s="396">
        <v>13798.940820949014</v>
      </c>
      <c r="J552" s="396">
        <v>13257.340233086052</v>
      </c>
      <c r="K552" s="396">
        <v>14094.629801102723</v>
      </c>
      <c r="L552" s="396">
        <v>10913.082732996871</v>
      </c>
      <c r="M552" s="396">
        <v>9474.5964742117194</v>
      </c>
      <c r="N552" s="397">
        <v>19184.684362289965</v>
      </c>
      <c r="O552" s="252">
        <v>19278.226045229385</v>
      </c>
      <c r="P552" s="252">
        <v>19597.396642861568</v>
      </c>
      <c r="Q552" s="252">
        <v>19921.129391774921</v>
      </c>
      <c r="R552" s="252">
        <v>20221.357623843905</v>
      </c>
      <c r="S552" s="252">
        <v>18499.313822933851</v>
      </c>
      <c r="T552" s="252">
        <v>13474.656029005919</v>
      </c>
      <c r="U552" s="252">
        <v>12591.789533693205</v>
      </c>
      <c r="V552" s="252">
        <v>11101.933167988189</v>
      </c>
      <c r="W552" s="252">
        <v>10352.840606428461</v>
      </c>
      <c r="X552" s="252">
        <v>8101.3430999094053</v>
      </c>
    </row>
    <row r="554" spans="1:24">
      <c r="A554" s="292" t="s">
        <v>674</v>
      </c>
    </row>
    <row r="555" spans="1:24">
      <c r="A555" s="333">
        <v>36374</v>
      </c>
    </row>
    <row r="556" spans="1:24" ht="12.75">
      <c r="A556" s="308" t="s">
        <v>416</v>
      </c>
      <c r="B556" s="309">
        <v>34674.388848644259</v>
      </c>
      <c r="C556" s="247"/>
      <c r="D556" s="247"/>
      <c r="E556" s="247"/>
      <c r="F556" s="247"/>
      <c r="G556" s="247"/>
      <c r="H556" s="247"/>
      <c r="I556" s="247"/>
      <c r="J556" s="247"/>
      <c r="K556" s="247"/>
      <c r="L556" s="247"/>
      <c r="M556" s="247"/>
      <c r="N556" s="247"/>
      <c r="O556" s="247"/>
      <c r="P556" s="247"/>
      <c r="Q556" s="247"/>
      <c r="R556" s="247"/>
      <c r="S556" s="247"/>
      <c r="T556" s="247"/>
      <c r="U556" s="247"/>
      <c r="V556" s="247"/>
      <c r="W556" s="247"/>
      <c r="X556" s="247"/>
    </row>
    <row r="557" spans="1:24" ht="12.75">
      <c r="A557" s="310" t="s">
        <v>417</v>
      </c>
      <c r="B557" s="311">
        <v>69589.552241359765</v>
      </c>
      <c r="C557" s="247"/>
      <c r="D557" s="247"/>
      <c r="E557" s="247"/>
      <c r="F557" s="247"/>
      <c r="G557" s="247"/>
      <c r="H557" s="247"/>
      <c r="I557" s="247"/>
      <c r="J557" s="247"/>
      <c r="K557" s="247"/>
      <c r="L557" s="247"/>
      <c r="M557" s="247"/>
      <c r="N557" s="247"/>
      <c r="O557" s="247"/>
      <c r="P557" s="247"/>
      <c r="Q557" s="247"/>
      <c r="R557" s="247"/>
      <c r="S557" s="247"/>
      <c r="T557" s="247"/>
      <c r="U557" s="247"/>
      <c r="V557" s="247"/>
      <c r="W557" s="247"/>
      <c r="X557" s="247"/>
    </row>
    <row r="558" spans="1:24" ht="12.75">
      <c r="A558" s="312" t="s">
        <v>418</v>
      </c>
      <c r="B558" s="387" t="s">
        <v>469</v>
      </c>
      <c r="C558" s="387" t="s">
        <v>470</v>
      </c>
      <c r="D558" s="389">
        <v>2000</v>
      </c>
      <c r="E558" s="390">
        <v>2001</v>
      </c>
      <c r="F558" s="390">
        <v>2002</v>
      </c>
      <c r="G558" s="390">
        <v>2003</v>
      </c>
      <c r="H558" s="390">
        <v>2004</v>
      </c>
      <c r="I558" s="390">
        <v>2005</v>
      </c>
      <c r="J558" s="390">
        <v>2006</v>
      </c>
      <c r="K558" s="390">
        <v>2007</v>
      </c>
      <c r="L558" s="390">
        <v>2008</v>
      </c>
      <c r="M558" s="390">
        <v>2009</v>
      </c>
      <c r="N558" s="391">
        <v>2010</v>
      </c>
      <c r="O558" s="248">
        <v>2011</v>
      </c>
      <c r="P558" s="248">
        <v>2012</v>
      </c>
      <c r="Q558" s="248">
        <v>2013</v>
      </c>
      <c r="R558" s="248">
        <v>2014</v>
      </c>
      <c r="S558" s="248">
        <v>2015</v>
      </c>
      <c r="T558" s="248">
        <v>2016</v>
      </c>
      <c r="U558" s="248">
        <v>2017</v>
      </c>
      <c r="V558" s="248">
        <v>2018</v>
      </c>
      <c r="W558" s="248">
        <v>2019</v>
      </c>
      <c r="X558" s="248">
        <v>2020</v>
      </c>
    </row>
    <row r="559" spans="1:24" ht="12.75">
      <c r="A559" s="312" t="s">
        <v>419</v>
      </c>
      <c r="B559" s="388">
        <f>NPV(0.1,D559:Y559)</f>
        <v>452746.21233560657</v>
      </c>
      <c r="C559" s="388">
        <f>B559-B549</f>
        <v>0.72873350203735754</v>
      </c>
      <c r="D559" s="392">
        <v>34109.67192504838</v>
      </c>
      <c r="E559" s="393">
        <v>44409.648493909466</v>
      </c>
      <c r="F559" s="393">
        <v>44506.731692157024</v>
      </c>
      <c r="G559" s="393">
        <v>50218.269426980267</v>
      </c>
      <c r="H559" s="393">
        <v>54574.634087028579</v>
      </c>
      <c r="I559" s="393">
        <v>55063.722146222171</v>
      </c>
      <c r="J559" s="393">
        <v>55548.629429518551</v>
      </c>
      <c r="K559" s="393">
        <v>56699.601114188787</v>
      </c>
      <c r="L559" s="393">
        <v>57194.191689675579</v>
      </c>
      <c r="M559" s="393">
        <v>58394.530242150511</v>
      </c>
      <c r="N559" s="394">
        <v>58897.892256659004</v>
      </c>
      <c r="O559" s="252">
        <v>60149.341826143434</v>
      </c>
      <c r="P559" s="252">
        <v>60660.709298474183</v>
      </c>
      <c r="Q559" s="252">
        <v>61164.089027447699</v>
      </c>
      <c r="R559" s="252">
        <v>61658.541517737467</v>
      </c>
      <c r="S559" s="252">
        <v>62143.078093266362</v>
      </c>
      <c r="T559" s="252">
        <v>62616.658791907495</v>
      </c>
      <c r="U559" s="252">
        <v>63078.190178129626</v>
      </c>
      <c r="V559" s="252">
        <v>63526.523070558826</v>
      </c>
      <c r="W559" s="252">
        <v>63960.450181319895</v>
      </c>
      <c r="X559" s="252">
        <v>38508.4173545835</v>
      </c>
    </row>
    <row r="560" spans="1:24" ht="12.75">
      <c r="A560" s="313" t="s">
        <v>420</v>
      </c>
      <c r="B560" s="388">
        <f>NPV(0.1,D560:Y560)</f>
        <v>208058.43904406662</v>
      </c>
      <c r="C560" s="388">
        <f>B560-B550</f>
        <v>19.281908170087263</v>
      </c>
      <c r="D560" s="392">
        <v>21350.556243313084</v>
      </c>
      <c r="E560" s="393">
        <v>22379.946647468285</v>
      </c>
      <c r="F560" s="393">
        <v>22543.404118127604</v>
      </c>
      <c r="G560" s="393">
        <v>23349.395120907782</v>
      </c>
      <c r="H560" s="393">
        <v>23842.019800662449</v>
      </c>
      <c r="I560" s="393">
        <v>24034.653228297593</v>
      </c>
      <c r="J560" s="393">
        <v>24233.180663935189</v>
      </c>
      <c r="K560" s="393">
        <v>24437.931921122912</v>
      </c>
      <c r="L560" s="393">
        <v>24648.825716026273</v>
      </c>
      <c r="M560" s="393">
        <v>24866.046324776729</v>
      </c>
      <c r="N560" s="394">
        <v>25089.7835517897</v>
      </c>
      <c r="O560" s="252">
        <v>25320.232895613055</v>
      </c>
      <c r="P560" s="252">
        <v>25557.595719751116</v>
      </c>
      <c r="Q560" s="252">
        <v>25802.079428613317</v>
      </c>
      <c r="R560" s="252">
        <v>26053.897648741393</v>
      </c>
      <c r="S560" s="252">
        <v>26313.2704154733</v>
      </c>
      <c r="T560" s="252">
        <v>26580.424365207167</v>
      </c>
      <c r="U560" s="252">
        <v>26855.592933433054</v>
      </c>
      <c r="V560" s="252">
        <v>27139.016558705716</v>
      </c>
      <c r="W560" s="252">
        <v>27430.942892736555</v>
      </c>
      <c r="X560" s="252">
        <v>25114.848520630305</v>
      </c>
    </row>
    <row r="561" spans="1:24" ht="12.75">
      <c r="A561" s="313" t="s">
        <v>35</v>
      </c>
      <c r="B561" s="388">
        <f>NPV(0.1,D561:Y561)</f>
        <v>87624.024008148452</v>
      </c>
      <c r="C561" s="388">
        <f>B561-B551</f>
        <v>-241.58188718529709</v>
      </c>
      <c r="D561" s="392">
        <v>148.18736153701093</v>
      </c>
      <c r="E561" s="393">
        <v>4562.8703355413145</v>
      </c>
      <c r="F561" s="393">
        <v>4719.2619184744426</v>
      </c>
      <c r="G561" s="393">
        <v>7959.2241865503411</v>
      </c>
      <c r="H561" s="393">
        <v>10651.489788030121</v>
      </c>
      <c r="I561" s="393">
        <v>11178.166334702735</v>
      </c>
      <c r="J561" s="393">
        <v>11664.276667436585</v>
      </c>
      <c r="K561" s="393">
        <v>12494.723640726217</v>
      </c>
      <c r="L561" s="393">
        <v>12925.119167347419</v>
      </c>
      <c r="M561" s="393">
        <v>13940.600313835213</v>
      </c>
      <c r="N561" s="394">
        <v>14644.780796640509</v>
      </c>
      <c r="O561" s="252">
        <v>15389.739884852866</v>
      </c>
      <c r="P561" s="252">
        <v>15715.753077212104</v>
      </c>
      <c r="Q561" s="252">
        <v>16032.643231398415</v>
      </c>
      <c r="R561" s="252">
        <v>16339.714058194442</v>
      </c>
      <c r="S561" s="252">
        <v>16636.235701764133</v>
      </c>
      <c r="T561" s="252">
        <v>16921.44335231595</v>
      </c>
      <c r="U561" s="252">
        <v>17355.096857003242</v>
      </c>
      <c r="V561" s="252">
        <v>17840.020491298223</v>
      </c>
      <c r="W561" s="252">
        <v>18407.447929738497</v>
      </c>
      <c r="X561" s="252">
        <v>5009.2804232194467</v>
      </c>
    </row>
    <row r="562" spans="1:24" ht="12.75">
      <c r="A562" s="313" t="s">
        <v>32</v>
      </c>
      <c r="B562" s="388">
        <f>NPV(0.1,D562:Y562)</f>
        <v>99548.456087343686</v>
      </c>
      <c r="C562" s="388">
        <f>B562-B552</f>
        <v>275.70095370632771</v>
      </c>
      <c r="D562" s="395">
        <v>-1173.7142157430135</v>
      </c>
      <c r="E562" s="396">
        <v>8304.3728070216948</v>
      </c>
      <c r="F562" s="396">
        <v>6764.0597937047905</v>
      </c>
      <c r="G562" s="396">
        <v>10394.269832398391</v>
      </c>
      <c r="H562" s="396">
        <v>16029.856588050776</v>
      </c>
      <c r="I562" s="396">
        <v>13835.713039671275</v>
      </c>
      <c r="J562" s="396">
        <v>13291.237828275209</v>
      </c>
      <c r="K562" s="396">
        <v>14128.587045326354</v>
      </c>
      <c r="L562" s="396">
        <v>10946.98032818604</v>
      </c>
      <c r="M562" s="396">
        <v>9508.5537184353525</v>
      </c>
      <c r="N562" s="397">
        <v>19218.581957479135</v>
      </c>
      <c r="O562" s="252">
        <v>19312.183289453005</v>
      </c>
      <c r="P562" s="252">
        <v>19631.294238050734</v>
      </c>
      <c r="Q562" s="252">
        <v>19955.086635998552</v>
      </c>
      <c r="R562" s="252">
        <v>20255.255219033068</v>
      </c>
      <c r="S562" s="252">
        <v>18515.614952956574</v>
      </c>
      <c r="T562" s="252">
        <v>13473.360693862203</v>
      </c>
      <c r="U562" s="252">
        <v>12590.494198549495</v>
      </c>
      <c r="V562" s="252">
        <v>11100.637832844475</v>
      </c>
      <c r="W562" s="252">
        <v>10351.545271284753</v>
      </c>
      <c r="X562" s="252">
        <v>8100.047764765698</v>
      </c>
    </row>
    <row r="564" spans="1:24">
      <c r="A564" s="292" t="s">
        <v>675</v>
      </c>
    </row>
    <row r="565" spans="1:24">
      <c r="A565" s="333">
        <v>36385</v>
      </c>
    </row>
    <row r="566" spans="1:24" ht="12.75">
      <c r="A566" s="308" t="s">
        <v>416</v>
      </c>
      <c r="B566" s="309">
        <v>34646.811229512095</v>
      </c>
      <c r="C566" s="247"/>
      <c r="D566" s="247"/>
      <c r="E566" s="247"/>
      <c r="F566" s="247"/>
      <c r="G566" s="247"/>
      <c r="H566" s="247"/>
      <c r="I566" s="247"/>
      <c r="J566" s="247"/>
      <c r="K566" s="247"/>
      <c r="L566" s="247"/>
      <c r="M566" s="247"/>
      <c r="N566" s="247"/>
      <c r="O566" s="247"/>
      <c r="P566" s="247"/>
      <c r="Q566" s="247"/>
      <c r="R566" s="247"/>
      <c r="S566" s="247"/>
      <c r="T566" s="247"/>
      <c r="U566" s="247"/>
      <c r="V566" s="247"/>
      <c r="W566" s="247"/>
      <c r="X566" s="247"/>
    </row>
    <row r="567" spans="1:24" ht="12.75">
      <c r="A567" s="310" t="s">
        <v>417</v>
      </c>
      <c r="B567" s="311">
        <v>69553.828241359763</v>
      </c>
      <c r="C567" s="247"/>
      <c r="D567" s="247"/>
      <c r="E567" s="247"/>
      <c r="F567" s="247"/>
      <c r="G567" s="247"/>
      <c r="H567" s="247"/>
      <c r="I567" s="247"/>
      <c r="J567" s="247"/>
      <c r="K567" s="247"/>
      <c r="L567" s="247"/>
      <c r="M567" s="247"/>
      <c r="N567" s="247"/>
      <c r="O567" s="247"/>
      <c r="P567" s="247"/>
      <c r="Q567" s="247"/>
      <c r="R567" s="247"/>
      <c r="S567" s="247"/>
      <c r="T567" s="247"/>
      <c r="U567" s="247"/>
      <c r="V567" s="247"/>
      <c r="W567" s="247"/>
      <c r="X567" s="247"/>
    </row>
    <row r="568" spans="1:24" ht="12.75">
      <c r="A568" s="312" t="s">
        <v>418</v>
      </c>
      <c r="B568" s="387" t="s">
        <v>469</v>
      </c>
      <c r="C568" s="387" t="s">
        <v>470</v>
      </c>
      <c r="D568" s="389">
        <v>2000</v>
      </c>
      <c r="E568" s="390">
        <v>2001</v>
      </c>
      <c r="F568" s="390">
        <v>2002</v>
      </c>
      <c r="G568" s="390">
        <v>2003</v>
      </c>
      <c r="H568" s="390">
        <v>2004</v>
      </c>
      <c r="I568" s="390">
        <v>2005</v>
      </c>
      <c r="J568" s="390">
        <v>2006</v>
      </c>
      <c r="K568" s="390">
        <v>2007</v>
      </c>
      <c r="L568" s="390">
        <v>2008</v>
      </c>
      <c r="M568" s="390">
        <v>2009</v>
      </c>
      <c r="N568" s="391">
        <v>2010</v>
      </c>
      <c r="O568" s="248">
        <v>2011</v>
      </c>
      <c r="P568" s="248">
        <v>2012</v>
      </c>
      <c r="Q568" s="248">
        <v>2013</v>
      </c>
      <c r="R568" s="248">
        <v>2014</v>
      </c>
      <c r="S568" s="248">
        <v>2015</v>
      </c>
      <c r="T568" s="248">
        <v>2016</v>
      </c>
      <c r="U568" s="248">
        <v>2017</v>
      </c>
      <c r="V568" s="248">
        <v>2018</v>
      </c>
      <c r="W568" s="248">
        <v>2019</v>
      </c>
      <c r="X568" s="248">
        <v>2020</v>
      </c>
    </row>
    <row r="569" spans="1:24" ht="12.75">
      <c r="A569" s="312" t="s">
        <v>419</v>
      </c>
      <c r="B569" s="388">
        <f>NPV(0.1,D569:Y569)</f>
        <v>452746.2545293172</v>
      </c>
      <c r="C569" s="388">
        <f>B569-B559</f>
        <v>4.2193710629362613E-2</v>
      </c>
      <c r="D569" s="392">
        <v>34109.678456405381</v>
      </c>
      <c r="E569" s="393">
        <v>44409.659690521468</v>
      </c>
      <c r="F569" s="393">
        <v>44506.742888769026</v>
      </c>
      <c r="G569" s="393">
        <v>50218.280623592269</v>
      </c>
      <c r="H569" s="393">
        <v>54574.645283640581</v>
      </c>
      <c r="I569" s="393">
        <v>55063.726982774169</v>
      </c>
      <c r="J569" s="393">
        <v>55548.629723170554</v>
      </c>
      <c r="K569" s="393">
        <v>56699.601407840782</v>
      </c>
      <c r="L569" s="393">
        <v>57194.191983327582</v>
      </c>
      <c r="M569" s="393">
        <v>58394.530535802514</v>
      </c>
      <c r="N569" s="394">
        <v>58897.892550311</v>
      </c>
      <c r="O569" s="252">
        <v>60149.34211979543</v>
      </c>
      <c r="P569" s="252">
        <v>60660.709592126179</v>
      </c>
      <c r="Q569" s="252">
        <v>61164.089321099702</v>
      </c>
      <c r="R569" s="252">
        <v>61658.541811389463</v>
      </c>
      <c r="S569" s="252">
        <v>62143.078386918358</v>
      </c>
      <c r="T569" s="252">
        <v>62616.659085559499</v>
      </c>
      <c r="U569" s="252">
        <v>63078.190471781629</v>
      </c>
      <c r="V569" s="252">
        <v>63526.523364210814</v>
      </c>
      <c r="W569" s="252">
        <v>63960.450474971891</v>
      </c>
      <c r="X569" s="252">
        <v>38508.417648235496</v>
      </c>
    </row>
    <row r="570" spans="1:24" ht="12.75">
      <c r="A570" s="313" t="s">
        <v>420</v>
      </c>
      <c r="B570" s="388">
        <f>NPV(0.1,D570:Y570)</f>
        <v>208058.48123777722</v>
      </c>
      <c r="C570" s="388">
        <f>B570-B560</f>
        <v>4.2193710600258783E-2</v>
      </c>
      <c r="D570" s="392">
        <v>21350.562774670085</v>
      </c>
      <c r="E570" s="393">
        <v>22379.957844080287</v>
      </c>
      <c r="F570" s="393">
        <v>22543.415314739606</v>
      </c>
      <c r="G570" s="393">
        <v>23349.406317519784</v>
      </c>
      <c r="H570" s="393">
        <v>23842.030997274451</v>
      </c>
      <c r="I570" s="393">
        <v>24034.658064849595</v>
      </c>
      <c r="J570" s="393">
        <v>24233.180957587185</v>
      </c>
      <c r="K570" s="393">
        <v>24437.932214774915</v>
      </c>
      <c r="L570" s="393">
        <v>24648.826009678272</v>
      </c>
      <c r="M570" s="393">
        <v>24866.046618428729</v>
      </c>
      <c r="N570" s="394">
        <v>25089.7838454417</v>
      </c>
      <c r="O570" s="252">
        <v>25320.233189265055</v>
      </c>
      <c r="P570" s="252">
        <v>25557.596013403116</v>
      </c>
      <c r="Q570" s="252">
        <v>25802.07972226532</v>
      </c>
      <c r="R570" s="252">
        <v>26053.897942393389</v>
      </c>
      <c r="S570" s="252">
        <v>26313.2707091253</v>
      </c>
      <c r="T570" s="252">
        <v>26580.42465885917</v>
      </c>
      <c r="U570" s="252">
        <v>26855.593227085054</v>
      </c>
      <c r="V570" s="252">
        <v>27139.016852357716</v>
      </c>
      <c r="W570" s="252">
        <v>27430.943186388555</v>
      </c>
      <c r="X570" s="252">
        <v>25114.848814282304</v>
      </c>
    </row>
    <row r="571" spans="1:24" ht="12.75">
      <c r="A571" s="313" t="s">
        <v>35</v>
      </c>
      <c r="B571" s="388">
        <f>NPV(0.1,D571:Y571)</f>
        <v>87610.044411393756</v>
      </c>
      <c r="C571" s="388">
        <f>B571-B561</f>
        <v>-13.979596754696104</v>
      </c>
      <c r="D571" s="392">
        <v>146.02339596430232</v>
      </c>
      <c r="E571" s="393">
        <v>4559.1606802738152</v>
      </c>
      <c r="F571" s="393">
        <v>4715.5522632069424</v>
      </c>
      <c r="G571" s="393">
        <v>7955.5145312828408</v>
      </c>
      <c r="H571" s="393">
        <v>10647.780132762622</v>
      </c>
      <c r="I571" s="393">
        <v>11176.563890981066</v>
      </c>
      <c r="J571" s="393">
        <v>11664.179374819088</v>
      </c>
      <c r="K571" s="393">
        <v>12494.626348108714</v>
      </c>
      <c r="L571" s="393">
        <v>12925.02187472992</v>
      </c>
      <c r="M571" s="393">
        <v>13940.503021217715</v>
      </c>
      <c r="N571" s="394">
        <v>14644.683504023011</v>
      </c>
      <c r="O571" s="252">
        <v>15389.642592235368</v>
      </c>
      <c r="P571" s="252">
        <v>15715.655784594603</v>
      </c>
      <c r="Q571" s="252">
        <v>16032.545938780917</v>
      </c>
      <c r="R571" s="252">
        <v>16339.616765576944</v>
      </c>
      <c r="S571" s="252">
        <v>16636.138409146632</v>
      </c>
      <c r="T571" s="252">
        <v>16921.346059698451</v>
      </c>
      <c r="U571" s="252">
        <v>17354.999564385744</v>
      </c>
      <c r="V571" s="252">
        <v>17839.923198680721</v>
      </c>
      <c r="W571" s="252">
        <v>18407.350637121002</v>
      </c>
      <c r="X571" s="252">
        <v>5009.1831306019449</v>
      </c>
    </row>
    <row r="572" spans="1:24" ht="12.75">
      <c r="A572" s="313" t="s">
        <v>32</v>
      </c>
      <c r="B572" s="388">
        <f>NPV(0.1,D572:Y572)</f>
        <v>99557.014946982454</v>
      </c>
      <c r="C572" s="388">
        <f>B572-B562</f>
        <v>8.558859638767899</v>
      </c>
      <c r="D572" s="395">
        <v>-1173.7142157430135</v>
      </c>
      <c r="E572" s="396">
        <v>8304.3728070216948</v>
      </c>
      <c r="F572" s="396">
        <v>6764.0597937047905</v>
      </c>
      <c r="G572" s="396">
        <v>10394.269832398391</v>
      </c>
      <c r="H572" s="396">
        <v>16041.889135695807</v>
      </c>
      <c r="I572" s="396">
        <v>13836.868464964758</v>
      </c>
      <c r="J572" s="396">
        <v>13291.367328127462</v>
      </c>
      <c r="K572" s="396">
        <v>14128.716764669874</v>
      </c>
      <c r="L572" s="396">
        <v>10947.10982803829</v>
      </c>
      <c r="M572" s="396">
        <v>9508.6834377788764</v>
      </c>
      <c r="N572" s="397">
        <v>19218.711457331385</v>
      </c>
      <c r="O572" s="252">
        <v>19312.313008796529</v>
      </c>
      <c r="P572" s="252">
        <v>19631.42373790298</v>
      </c>
      <c r="Q572" s="252">
        <v>19955.216355342076</v>
      </c>
      <c r="R572" s="252">
        <v>20255.384718885325</v>
      </c>
      <c r="S572" s="252">
        <v>18515.679702882699</v>
      </c>
      <c r="T572" s="252">
        <v>13473.360693862203</v>
      </c>
      <c r="U572" s="252">
        <v>12590.494198549495</v>
      </c>
      <c r="V572" s="252">
        <v>11100.63783284447</v>
      </c>
      <c r="W572" s="252">
        <v>10351.545271284753</v>
      </c>
      <c r="X572" s="252">
        <v>8100.0477647656944</v>
      </c>
    </row>
    <row r="574" spans="1:24">
      <c r="A574" s="292" t="s">
        <v>676</v>
      </c>
    </row>
    <row r="575" spans="1:24">
      <c r="A575" s="333">
        <v>36388</v>
      </c>
    </row>
    <row r="576" spans="1:24" ht="12.75">
      <c r="A576" s="308" t="s">
        <v>416</v>
      </c>
      <c r="B576" s="309">
        <v>37941.100757823653</v>
      </c>
      <c r="C576" s="247"/>
      <c r="D576" s="247"/>
      <c r="E576" s="247"/>
      <c r="F576" s="247"/>
      <c r="G576" s="247"/>
      <c r="H576" s="247"/>
      <c r="I576" s="247"/>
      <c r="J576" s="247"/>
      <c r="K576" s="247"/>
      <c r="L576" s="247"/>
      <c r="M576" s="247"/>
      <c r="N576" s="247"/>
      <c r="O576" s="247"/>
      <c r="P576" s="247"/>
      <c r="Q576" s="247"/>
      <c r="R576" s="247"/>
      <c r="S576" s="247"/>
      <c r="T576" s="247"/>
      <c r="U576" s="247"/>
      <c r="V576" s="247"/>
      <c r="W576" s="247"/>
      <c r="X576" s="247"/>
    </row>
    <row r="577" spans="1:24" ht="12.75">
      <c r="A577" s="310" t="s">
        <v>417</v>
      </c>
      <c r="B577" s="311">
        <v>71327.566479684639</v>
      </c>
      <c r="C577" s="247"/>
      <c r="D577" s="247"/>
      <c r="E577" s="247"/>
      <c r="F577" s="247"/>
      <c r="G577" s="247"/>
      <c r="H577" s="247"/>
      <c r="I577" s="247"/>
      <c r="J577" s="247"/>
      <c r="K577" s="247"/>
      <c r="L577" s="247"/>
      <c r="M577" s="247"/>
      <c r="N577" s="247"/>
      <c r="O577" s="247"/>
      <c r="P577" s="247"/>
      <c r="Q577" s="247"/>
      <c r="R577" s="247"/>
      <c r="S577" s="247"/>
      <c r="T577" s="247"/>
      <c r="U577" s="247"/>
      <c r="V577" s="247"/>
      <c r="W577" s="247"/>
      <c r="X577" s="247"/>
    </row>
    <row r="578" spans="1:24" ht="12.75">
      <c r="A578" s="312" t="s">
        <v>418</v>
      </c>
      <c r="B578" s="387" t="s">
        <v>469</v>
      </c>
      <c r="C578" s="387" t="s">
        <v>470</v>
      </c>
      <c r="D578" s="389">
        <v>2000</v>
      </c>
      <c r="E578" s="390">
        <v>2001</v>
      </c>
      <c r="F578" s="390">
        <v>2002</v>
      </c>
      <c r="G578" s="390">
        <v>2003</v>
      </c>
      <c r="H578" s="390">
        <v>2004</v>
      </c>
      <c r="I578" s="390">
        <v>2005</v>
      </c>
      <c r="J578" s="390">
        <v>2006</v>
      </c>
      <c r="K578" s="390">
        <v>2007</v>
      </c>
      <c r="L578" s="390">
        <v>2008</v>
      </c>
      <c r="M578" s="390">
        <v>2009</v>
      </c>
      <c r="N578" s="391">
        <v>2010</v>
      </c>
      <c r="O578" s="248">
        <v>2011</v>
      </c>
      <c r="P578" s="248">
        <v>2012</v>
      </c>
      <c r="Q578" s="248">
        <v>2013</v>
      </c>
      <c r="R578" s="248">
        <v>2014</v>
      </c>
      <c r="S578" s="248">
        <v>2015</v>
      </c>
      <c r="T578" s="248">
        <v>2016</v>
      </c>
      <c r="U578" s="248">
        <v>2017</v>
      </c>
      <c r="V578" s="248">
        <v>2018</v>
      </c>
      <c r="W578" s="248">
        <v>2019</v>
      </c>
      <c r="X578" s="248">
        <v>2020</v>
      </c>
    </row>
    <row r="579" spans="1:24" ht="12.75">
      <c r="A579" s="312" t="s">
        <v>419</v>
      </c>
      <c r="B579" s="388">
        <f>NPV(0.1,D579:Y579)</f>
        <v>452746.2545293172</v>
      </c>
      <c r="C579" s="388">
        <f>B579-B569</f>
        <v>0</v>
      </c>
      <c r="D579" s="392">
        <v>34109.678456405381</v>
      </c>
      <c r="E579" s="393">
        <v>44409.659690521468</v>
      </c>
      <c r="F579" s="393">
        <v>44506.742888769026</v>
      </c>
      <c r="G579" s="393">
        <v>50218.280623592269</v>
      </c>
      <c r="H579" s="393">
        <v>54574.645283640581</v>
      </c>
      <c r="I579" s="393">
        <v>55063.726982774169</v>
      </c>
      <c r="J579" s="393">
        <v>55548.629723170554</v>
      </c>
      <c r="K579" s="393">
        <v>56699.601407840782</v>
      </c>
      <c r="L579" s="393">
        <v>57194.191983327582</v>
      </c>
      <c r="M579" s="393">
        <v>58394.530535802514</v>
      </c>
      <c r="N579" s="394">
        <v>58897.892550311</v>
      </c>
      <c r="O579" s="252">
        <v>60149.34211979543</v>
      </c>
      <c r="P579" s="252">
        <v>60660.709592126179</v>
      </c>
      <c r="Q579" s="252">
        <v>61164.089321099702</v>
      </c>
      <c r="R579" s="252">
        <v>61658.541811389463</v>
      </c>
      <c r="S579" s="252">
        <v>62143.078386918358</v>
      </c>
      <c r="T579" s="252">
        <v>62616.659085559499</v>
      </c>
      <c r="U579" s="252">
        <v>63078.190471781629</v>
      </c>
      <c r="V579" s="252">
        <v>63526.523364210814</v>
      </c>
      <c r="W579" s="252">
        <v>63960.450474971891</v>
      </c>
      <c r="X579" s="252">
        <v>38508.417648235496</v>
      </c>
    </row>
    <row r="580" spans="1:24" ht="12.75">
      <c r="A580" s="313" t="s">
        <v>420</v>
      </c>
      <c r="B580" s="388">
        <f>NPV(0.1,D580:Y580)</f>
        <v>208058.48123777722</v>
      </c>
      <c r="C580" s="388">
        <f>B580-B570</f>
        <v>0</v>
      </c>
      <c r="D580" s="392">
        <v>21350.562774670085</v>
      </c>
      <c r="E580" s="393">
        <v>22379.957844080287</v>
      </c>
      <c r="F580" s="393">
        <v>22543.415314739606</v>
      </c>
      <c r="G580" s="393">
        <v>23349.406317519784</v>
      </c>
      <c r="H580" s="393">
        <v>23842.030997274451</v>
      </c>
      <c r="I580" s="393">
        <v>24034.658064849595</v>
      </c>
      <c r="J580" s="393">
        <v>24233.180957587185</v>
      </c>
      <c r="K580" s="393">
        <v>24437.932214774915</v>
      </c>
      <c r="L580" s="393">
        <v>24648.826009678272</v>
      </c>
      <c r="M580" s="393">
        <v>24866.046618428729</v>
      </c>
      <c r="N580" s="394">
        <v>25089.7838454417</v>
      </c>
      <c r="O580" s="252">
        <v>25320.233189265055</v>
      </c>
      <c r="P580" s="252">
        <v>25557.596013403116</v>
      </c>
      <c r="Q580" s="252">
        <v>25802.07972226532</v>
      </c>
      <c r="R580" s="252">
        <v>26053.897942393389</v>
      </c>
      <c r="S580" s="252">
        <v>26313.2707091253</v>
      </c>
      <c r="T580" s="252">
        <v>26580.42465885917</v>
      </c>
      <c r="U580" s="252">
        <v>26855.593227085054</v>
      </c>
      <c r="V580" s="252">
        <v>27139.016852357716</v>
      </c>
      <c r="W580" s="252">
        <v>27430.943186388555</v>
      </c>
      <c r="X580" s="252">
        <v>25114.848814282304</v>
      </c>
    </row>
    <row r="581" spans="1:24" ht="12.75">
      <c r="A581" s="313" t="s">
        <v>35</v>
      </c>
      <c r="B581" s="388">
        <f>NPV(0.1,D581:Y581)</f>
        <v>84869.265799468558</v>
      </c>
      <c r="C581" s="388">
        <f>B581-B571</f>
        <v>-2740.7786119251978</v>
      </c>
      <c r="D581" s="392">
        <v>-313.14402829776134</v>
      </c>
      <c r="E581" s="393">
        <v>4114.3039116660984</v>
      </c>
      <c r="F581" s="393">
        <v>4285.0061502535737</v>
      </c>
      <c r="G581" s="393">
        <v>7546.8765493417686</v>
      </c>
      <c r="H581" s="393">
        <v>10268.647757191791</v>
      </c>
      <c r="I581" s="393">
        <v>10817.625972015849</v>
      </c>
      <c r="J581" s="393">
        <v>11325.435912459481</v>
      </c>
      <c r="K581" s="393">
        <v>12178.577095299572</v>
      </c>
      <c r="L581" s="393">
        <v>12631.666831471246</v>
      </c>
      <c r="M581" s="393">
        <v>13685.037138225403</v>
      </c>
      <c r="N581" s="394">
        <v>14437.204009599867</v>
      </c>
      <c r="O581" s="252">
        <v>15192.162109591653</v>
      </c>
      <c r="P581" s="252">
        <v>15530.674066675174</v>
      </c>
      <c r="Q581" s="252">
        <v>15860.062985585773</v>
      </c>
      <c r="R581" s="252">
        <v>16179.632577106087</v>
      </c>
      <c r="S581" s="252">
        <v>16488.652985400062</v>
      </c>
      <c r="T581" s="252">
        <v>16786.359400676167</v>
      </c>
      <c r="U581" s="252">
        <v>17245.010434812029</v>
      </c>
      <c r="V581" s="252">
        <v>17759.931104445295</v>
      </c>
      <c r="W581" s="252">
        <v>18364.854837058429</v>
      </c>
      <c r="X581" s="252">
        <v>5009.1831306019458</v>
      </c>
    </row>
    <row r="582" spans="1:24" ht="12.75">
      <c r="A582" s="313" t="s">
        <v>32</v>
      </c>
      <c r="B582" s="388">
        <f>NPV(0.1,D582:Y582)</f>
        <v>92487.952271004571</v>
      </c>
      <c r="C582" s="388">
        <f>B582-B572</f>
        <v>-7069.0626759778825</v>
      </c>
      <c r="D582" s="395">
        <v>-2300.4637908565137</v>
      </c>
      <c r="E582" s="396">
        <v>7201.6193009156987</v>
      </c>
      <c r="F582" s="396">
        <v>5517.0140303562857</v>
      </c>
      <c r="G582" s="396">
        <v>9015.6712381045145</v>
      </c>
      <c r="H582" s="396">
        <v>16403.495205072639</v>
      </c>
      <c r="I582" s="396">
        <v>13038.870298599544</v>
      </c>
      <c r="J582" s="396">
        <v>12462.321820917856</v>
      </c>
      <c r="K582" s="396">
        <v>13322.365467010733</v>
      </c>
      <c r="L582" s="396">
        <v>9826.8760874296204</v>
      </c>
      <c r="M582" s="396">
        <v>8206.8087337365723</v>
      </c>
      <c r="N582" s="397">
        <v>18806.264773108247</v>
      </c>
      <c r="O582" s="252">
        <v>18858.623538902815</v>
      </c>
      <c r="P582" s="252">
        <v>19190.233032733555</v>
      </c>
      <c r="Q582" s="252">
        <v>19526.524414896936</v>
      </c>
      <c r="R582" s="252">
        <v>19839.191543164459</v>
      </c>
      <c r="S582" s="252">
        <v>18111.985291886125</v>
      </c>
      <c r="T582" s="252">
        <v>12825.956060339919</v>
      </c>
      <c r="U582" s="252">
        <v>11865.60349957578</v>
      </c>
      <c r="V582" s="252">
        <v>10252.018776859042</v>
      </c>
      <c r="W582" s="252">
        <v>9437.9389145721761</v>
      </c>
      <c r="X582" s="252">
        <v>8100.0477647656962</v>
      </c>
    </row>
    <row r="584" spans="1:24">
      <c r="A584" s="292" t="s">
        <v>680</v>
      </c>
    </row>
    <row r="585" spans="1:24">
      <c r="A585" s="333">
        <v>36388</v>
      </c>
    </row>
    <row r="586" spans="1:24" ht="12.75">
      <c r="A586" s="308" t="s">
        <v>416</v>
      </c>
      <c r="B586" s="309">
        <v>37518.820755978166</v>
      </c>
      <c r="C586" s="247"/>
      <c r="D586" s="247"/>
      <c r="E586" s="247"/>
      <c r="F586" s="247"/>
      <c r="G586" s="247"/>
      <c r="H586" s="247"/>
      <c r="I586" s="247"/>
      <c r="J586" s="247"/>
      <c r="K586" s="247"/>
      <c r="L586" s="247"/>
      <c r="M586" s="247"/>
      <c r="N586" s="247"/>
      <c r="O586" s="247"/>
      <c r="P586" s="247"/>
      <c r="Q586" s="247"/>
      <c r="R586" s="247"/>
      <c r="S586" s="247"/>
      <c r="T586" s="247"/>
      <c r="U586" s="247"/>
      <c r="V586" s="247"/>
      <c r="W586" s="247"/>
      <c r="X586" s="247"/>
    </row>
    <row r="587" spans="1:24" ht="12.75">
      <c r="A587" s="310" t="s">
        <v>417</v>
      </c>
      <c r="B587" s="311">
        <v>70759.656571939195</v>
      </c>
      <c r="C587" s="247"/>
      <c r="D587" s="247"/>
      <c r="E587" s="247"/>
      <c r="F587" s="247"/>
      <c r="G587" s="247"/>
      <c r="H587" s="247"/>
      <c r="I587" s="247"/>
      <c r="J587" s="247"/>
      <c r="K587" s="247"/>
      <c r="L587" s="247"/>
      <c r="M587" s="247"/>
      <c r="N587" s="247"/>
      <c r="O587" s="247"/>
      <c r="P587" s="247"/>
      <c r="Q587" s="247"/>
      <c r="R587" s="247"/>
      <c r="S587" s="247"/>
      <c r="T587" s="247"/>
      <c r="U587" s="247"/>
      <c r="V587" s="247"/>
      <c r="W587" s="247"/>
      <c r="X587" s="247"/>
    </row>
    <row r="588" spans="1:24" ht="12.75">
      <c r="A588" s="312" t="s">
        <v>418</v>
      </c>
      <c r="B588" s="387" t="s">
        <v>469</v>
      </c>
      <c r="C588" s="387" t="s">
        <v>470</v>
      </c>
      <c r="D588" s="389">
        <v>2000</v>
      </c>
      <c r="E588" s="390">
        <v>2001</v>
      </c>
      <c r="F588" s="390">
        <v>2002</v>
      </c>
      <c r="G588" s="390">
        <v>2003</v>
      </c>
      <c r="H588" s="390">
        <v>2004</v>
      </c>
      <c r="I588" s="390">
        <v>2005</v>
      </c>
      <c r="J588" s="390">
        <v>2006</v>
      </c>
      <c r="K588" s="390">
        <v>2007</v>
      </c>
      <c r="L588" s="390">
        <v>2008</v>
      </c>
      <c r="M588" s="390">
        <v>2009</v>
      </c>
      <c r="N588" s="391">
        <v>2010</v>
      </c>
      <c r="O588" s="248">
        <v>2011</v>
      </c>
      <c r="P588" s="248">
        <v>2012</v>
      </c>
      <c r="Q588" s="248">
        <v>2013</v>
      </c>
      <c r="R588" s="248">
        <v>2014</v>
      </c>
      <c r="S588" s="248">
        <v>2015</v>
      </c>
      <c r="T588" s="248">
        <v>2016</v>
      </c>
      <c r="U588" s="248">
        <v>2017</v>
      </c>
      <c r="V588" s="248">
        <v>2018</v>
      </c>
      <c r="W588" s="248">
        <v>2019</v>
      </c>
      <c r="X588" s="248">
        <v>2020</v>
      </c>
    </row>
    <row r="589" spans="1:24" ht="12.75">
      <c r="A589" s="312" t="s">
        <v>419</v>
      </c>
      <c r="B589" s="388">
        <f>NPV(0.1,D589:Y589)</f>
        <v>452746.2545293172</v>
      </c>
      <c r="C589" s="388">
        <f>B589-B579</f>
        <v>0</v>
      </c>
      <c r="D589" s="392">
        <v>34109.678456405381</v>
      </c>
      <c r="E589" s="393">
        <v>44409.659690521468</v>
      </c>
      <c r="F589" s="393">
        <v>44506.742888769026</v>
      </c>
      <c r="G589" s="393">
        <v>50218.280623592269</v>
      </c>
      <c r="H589" s="393">
        <v>54574.645283640581</v>
      </c>
      <c r="I589" s="393">
        <v>55063.726982774169</v>
      </c>
      <c r="J589" s="393">
        <v>55548.629723170554</v>
      </c>
      <c r="K589" s="393">
        <v>56699.601407840782</v>
      </c>
      <c r="L589" s="393">
        <v>57194.191983327582</v>
      </c>
      <c r="M589" s="393">
        <v>58394.530535802514</v>
      </c>
      <c r="N589" s="394">
        <v>58897.892550311</v>
      </c>
      <c r="O589" s="252">
        <v>60149.34211979543</v>
      </c>
      <c r="P589" s="252">
        <v>60660.709592126179</v>
      </c>
      <c r="Q589" s="252">
        <v>61164.089321099702</v>
      </c>
      <c r="R589" s="252">
        <v>61658.541811389463</v>
      </c>
      <c r="S589" s="252">
        <v>62143.078386918358</v>
      </c>
      <c r="T589" s="252">
        <v>62616.659085559499</v>
      </c>
      <c r="U589" s="252">
        <v>63078.190471781629</v>
      </c>
      <c r="V589" s="252">
        <v>63526.523364210814</v>
      </c>
      <c r="W589" s="252">
        <v>63960.450474971891</v>
      </c>
      <c r="X589" s="252">
        <v>38508.417648235496</v>
      </c>
    </row>
    <row r="590" spans="1:24" ht="12.75">
      <c r="A590" s="313" t="s">
        <v>420</v>
      </c>
      <c r="B590" s="388">
        <f>NPV(0.1,D590:Y590)</f>
        <v>208058.48123777722</v>
      </c>
      <c r="C590" s="388">
        <f>B590-B580</f>
        <v>0</v>
      </c>
      <c r="D590" s="392">
        <v>21350.562774670085</v>
      </c>
      <c r="E590" s="393">
        <v>22379.957844080287</v>
      </c>
      <c r="F590" s="393">
        <v>22543.415314739606</v>
      </c>
      <c r="G590" s="393">
        <v>23349.406317519784</v>
      </c>
      <c r="H590" s="393">
        <v>23842.030997274451</v>
      </c>
      <c r="I590" s="393">
        <v>24034.658064849595</v>
      </c>
      <c r="J590" s="393">
        <v>24233.180957587185</v>
      </c>
      <c r="K590" s="393">
        <v>24437.932214774915</v>
      </c>
      <c r="L590" s="393">
        <v>24648.826009678272</v>
      </c>
      <c r="M590" s="393">
        <v>24866.046618428729</v>
      </c>
      <c r="N590" s="394">
        <v>25089.7838454417</v>
      </c>
      <c r="O590" s="252">
        <v>25320.233189265055</v>
      </c>
      <c r="P590" s="252">
        <v>25557.596013403116</v>
      </c>
      <c r="Q590" s="252">
        <v>25802.07972226532</v>
      </c>
      <c r="R590" s="252">
        <v>26053.897942393389</v>
      </c>
      <c r="S590" s="252">
        <v>26313.2707091253</v>
      </c>
      <c r="T590" s="252">
        <v>26580.42465885917</v>
      </c>
      <c r="U590" s="252">
        <v>26855.593227085054</v>
      </c>
      <c r="V590" s="252">
        <v>27139.016852357716</v>
      </c>
      <c r="W590" s="252">
        <v>27430.943186388555</v>
      </c>
      <c r="X590" s="252">
        <v>25114.848814282304</v>
      </c>
    </row>
    <row r="591" spans="1:24" ht="12.75">
      <c r="A591" s="313" t="s">
        <v>35</v>
      </c>
      <c r="B591" s="388">
        <f>NPV(0.1,D591:Y591)</f>
        <v>84540.317276968563</v>
      </c>
      <c r="C591" s="388">
        <f>B591-B581</f>
        <v>-328.94852249999531</v>
      </c>
      <c r="D591" s="392">
        <v>-674.98740304776095</v>
      </c>
      <c r="E591" s="393">
        <v>4114.3039116660984</v>
      </c>
      <c r="F591" s="393">
        <v>4285.0061502535737</v>
      </c>
      <c r="G591" s="393">
        <v>7546.8765493417686</v>
      </c>
      <c r="H591" s="393">
        <v>10268.647757191791</v>
      </c>
      <c r="I591" s="393">
        <v>10817.625972015849</v>
      </c>
      <c r="J591" s="393">
        <v>11325.435912459481</v>
      </c>
      <c r="K591" s="393">
        <v>12178.577095299572</v>
      </c>
      <c r="L591" s="393">
        <v>12631.666831471246</v>
      </c>
      <c r="M591" s="393">
        <v>13685.037138225403</v>
      </c>
      <c r="N591" s="394">
        <v>14437.204009599867</v>
      </c>
      <c r="O591" s="252">
        <v>15192.162109591653</v>
      </c>
      <c r="P591" s="252">
        <v>15530.674066675174</v>
      </c>
      <c r="Q591" s="252">
        <v>15860.062985585773</v>
      </c>
      <c r="R591" s="252">
        <v>16179.632577106087</v>
      </c>
      <c r="S591" s="252">
        <v>16488.652985400062</v>
      </c>
      <c r="T591" s="252">
        <v>16786.359400676167</v>
      </c>
      <c r="U591" s="252">
        <v>17245.010434812029</v>
      </c>
      <c r="V591" s="252">
        <v>17759.931104445295</v>
      </c>
      <c r="W591" s="252">
        <v>18364.854837058429</v>
      </c>
      <c r="X591" s="252">
        <v>5009.1831306019458</v>
      </c>
    </row>
    <row r="592" spans="1:24" ht="12.75">
      <c r="A592" s="313" t="s">
        <v>32</v>
      </c>
      <c r="B592" s="388">
        <f>NPV(0.1,D592:Y592)</f>
        <v>92088.432565724885</v>
      </c>
      <c r="C592" s="388">
        <f>B592-B582</f>
        <v>-399.5197052796866</v>
      </c>
      <c r="D592" s="395">
        <v>-2907.2017908565131</v>
      </c>
      <c r="E592" s="396">
        <v>7201.6193009156987</v>
      </c>
      <c r="F592" s="396">
        <v>5517.0140303562857</v>
      </c>
      <c r="G592" s="396">
        <v>9015.6712381045145</v>
      </c>
      <c r="H592" s="396">
        <v>16648.389830322638</v>
      </c>
      <c r="I592" s="396">
        <v>13038.870298599544</v>
      </c>
      <c r="J592" s="396">
        <v>12462.321820917856</v>
      </c>
      <c r="K592" s="396">
        <v>13322.365467010733</v>
      </c>
      <c r="L592" s="396">
        <v>9826.8760874296204</v>
      </c>
      <c r="M592" s="396">
        <v>8206.8087337365723</v>
      </c>
      <c r="N592" s="397">
        <v>18806.264773108247</v>
      </c>
      <c r="O592" s="252">
        <v>18858.623538902815</v>
      </c>
      <c r="P592" s="252">
        <v>19190.233032733555</v>
      </c>
      <c r="Q592" s="252">
        <v>19526.524414896936</v>
      </c>
      <c r="R592" s="252">
        <v>19839.191543164459</v>
      </c>
      <c r="S592" s="252">
        <v>18111.985291886125</v>
      </c>
      <c r="T592" s="252">
        <v>12825.956060339919</v>
      </c>
      <c r="U592" s="252">
        <v>11865.60349957578</v>
      </c>
      <c r="V592" s="252">
        <v>10252.018776859042</v>
      </c>
      <c r="W592" s="252">
        <v>9437.9389145721761</v>
      </c>
      <c r="X592" s="252">
        <v>8100.0477647656962</v>
      </c>
    </row>
    <row r="595" spans="1:24">
      <c r="A595" s="1071">
        <v>59</v>
      </c>
    </row>
    <row r="596" spans="1:24">
      <c r="A596" s="333">
        <v>36391</v>
      </c>
    </row>
    <row r="597" spans="1:24" ht="12.75">
      <c r="A597" s="308" t="s">
        <v>416</v>
      </c>
      <c r="B597" s="309">
        <v>37527.080055909515</v>
      </c>
      <c r="C597" s="247"/>
      <c r="D597" s="247"/>
      <c r="E597" s="247"/>
      <c r="F597" s="247"/>
      <c r="G597" s="247"/>
      <c r="H597" s="247"/>
      <c r="I597" s="247"/>
      <c r="J597" s="247"/>
      <c r="K597" s="247"/>
      <c r="L597" s="247"/>
      <c r="M597" s="247"/>
      <c r="N597" s="247"/>
      <c r="O597" s="247"/>
      <c r="P597" s="247"/>
      <c r="Q597" s="247"/>
      <c r="R597" s="247"/>
      <c r="S597" s="247"/>
      <c r="T597" s="247"/>
      <c r="U597" s="247"/>
      <c r="V597" s="247"/>
      <c r="W597" s="247"/>
      <c r="X597" s="247"/>
    </row>
    <row r="598" spans="1:24" ht="12.75">
      <c r="A598" s="310" t="s">
        <v>417</v>
      </c>
      <c r="B598" s="311">
        <v>70763.694815653551</v>
      </c>
      <c r="C598" s="247"/>
      <c r="D598" s="247"/>
      <c r="E598" s="247"/>
      <c r="F598" s="247"/>
      <c r="G598" s="247"/>
      <c r="H598" s="247"/>
      <c r="I598" s="247"/>
      <c r="J598" s="247"/>
      <c r="K598" s="247"/>
      <c r="L598" s="247"/>
      <c r="M598" s="247"/>
      <c r="N598" s="247"/>
      <c r="O598" s="247"/>
      <c r="P598" s="247"/>
      <c r="Q598" s="247"/>
      <c r="R598" s="247"/>
      <c r="S598" s="247"/>
      <c r="T598" s="247"/>
      <c r="U598" s="247"/>
      <c r="V598" s="247"/>
      <c r="W598" s="247"/>
      <c r="X598" s="247"/>
    </row>
    <row r="599" spans="1:24" ht="12.75">
      <c r="A599" s="312" t="s">
        <v>418</v>
      </c>
      <c r="B599" s="387" t="s">
        <v>469</v>
      </c>
      <c r="C599" s="387" t="s">
        <v>470</v>
      </c>
      <c r="D599" s="389">
        <v>2000</v>
      </c>
      <c r="E599" s="390">
        <v>2001</v>
      </c>
      <c r="F599" s="390">
        <v>2002</v>
      </c>
      <c r="G599" s="390">
        <v>2003</v>
      </c>
      <c r="H599" s="390">
        <v>2004</v>
      </c>
      <c r="I599" s="390">
        <v>2005</v>
      </c>
      <c r="J599" s="390">
        <v>2006</v>
      </c>
      <c r="K599" s="390">
        <v>2007</v>
      </c>
      <c r="L599" s="390">
        <v>2008</v>
      </c>
      <c r="M599" s="390">
        <v>2009</v>
      </c>
      <c r="N599" s="391">
        <v>2010</v>
      </c>
      <c r="O599" s="248">
        <v>2011</v>
      </c>
      <c r="P599" s="248">
        <v>2012</v>
      </c>
      <c r="Q599" s="248">
        <v>2013</v>
      </c>
      <c r="R599" s="248">
        <v>2014</v>
      </c>
      <c r="S599" s="248">
        <v>2015</v>
      </c>
      <c r="T599" s="248">
        <v>2016</v>
      </c>
      <c r="U599" s="248">
        <v>2017</v>
      </c>
      <c r="V599" s="248">
        <v>2018</v>
      </c>
      <c r="W599" s="248">
        <v>2019</v>
      </c>
      <c r="X599" s="248">
        <v>2020</v>
      </c>
    </row>
    <row r="600" spans="1:24" ht="12.75">
      <c r="A600" s="312" t="s">
        <v>419</v>
      </c>
      <c r="B600" s="388">
        <f>NPV(0.1,D600:Y600)</f>
        <v>452746.2737957178</v>
      </c>
      <c r="C600" s="388">
        <f>B600-B589</f>
        <v>1.9266400602646172E-2</v>
      </c>
      <c r="D600" s="392">
        <v>34109.679832886082</v>
      </c>
      <c r="E600" s="393">
        <v>44409.662018167168</v>
      </c>
      <c r="F600" s="393">
        <v>44506.745216414718</v>
      </c>
      <c r="G600" s="393">
        <v>50218.282951237976</v>
      </c>
      <c r="H600" s="393">
        <v>54574.647611286273</v>
      </c>
      <c r="I600" s="393">
        <v>55063.729310419869</v>
      </c>
      <c r="J600" s="393">
        <v>55548.632050816261</v>
      </c>
      <c r="K600" s="393">
        <v>56699.603735486482</v>
      </c>
      <c r="L600" s="393">
        <v>57194.194310973282</v>
      </c>
      <c r="M600" s="393">
        <v>58394.532863448207</v>
      </c>
      <c r="N600" s="394">
        <v>58897.8948779567</v>
      </c>
      <c r="O600" s="252">
        <v>60149.344447441137</v>
      </c>
      <c r="P600" s="252">
        <v>60660.711919771886</v>
      </c>
      <c r="Q600" s="252">
        <v>61164.091648745394</v>
      </c>
      <c r="R600" s="252">
        <v>61658.544139035163</v>
      </c>
      <c r="S600" s="252">
        <v>62143.080714564065</v>
      </c>
      <c r="T600" s="252">
        <v>62616.661413205198</v>
      </c>
      <c r="U600" s="252">
        <v>63078.192799427321</v>
      </c>
      <c r="V600" s="252">
        <v>63526.525691856521</v>
      </c>
      <c r="W600" s="252">
        <v>63960.452802617598</v>
      </c>
      <c r="X600" s="252">
        <v>38508.419975881196</v>
      </c>
    </row>
    <row r="601" spans="1:24" ht="12.75">
      <c r="A601" s="313" t="s">
        <v>420</v>
      </c>
      <c r="B601" s="388">
        <f>NPV(0.1,D601:Y601)</f>
        <v>208058.71599936919</v>
      </c>
      <c r="C601" s="388">
        <f>B601-B590</f>
        <v>0.23476159197161905</v>
      </c>
      <c r="D601" s="392">
        <v>21350.589067650788</v>
      </c>
      <c r="E601" s="393">
        <v>22379.985088225989</v>
      </c>
      <c r="F601" s="393">
        <v>22543.442558885308</v>
      </c>
      <c r="G601" s="393">
        <v>23349.433561665486</v>
      </c>
      <c r="H601" s="393">
        <v>23842.058241420153</v>
      </c>
      <c r="I601" s="393">
        <v>24034.685308995297</v>
      </c>
      <c r="J601" s="393">
        <v>24233.208201732894</v>
      </c>
      <c r="K601" s="393">
        <v>24437.959458920617</v>
      </c>
      <c r="L601" s="393">
        <v>24648.853253823974</v>
      </c>
      <c r="M601" s="393">
        <v>24866.073862574431</v>
      </c>
      <c r="N601" s="394">
        <v>25089.811089587402</v>
      </c>
      <c r="O601" s="252">
        <v>25320.260433410756</v>
      </c>
      <c r="P601" s="252">
        <v>25557.623257548817</v>
      </c>
      <c r="Q601" s="252">
        <v>25802.106966411022</v>
      </c>
      <c r="R601" s="252">
        <v>26053.925186539091</v>
      </c>
      <c r="S601" s="252">
        <v>26313.297953271005</v>
      </c>
      <c r="T601" s="252">
        <v>26580.451903004872</v>
      </c>
      <c r="U601" s="252">
        <v>26855.620471230755</v>
      </c>
      <c r="V601" s="252">
        <v>27139.044096503418</v>
      </c>
      <c r="W601" s="252">
        <v>27430.970430534257</v>
      </c>
      <c r="X601" s="252">
        <v>25114.876058428006</v>
      </c>
    </row>
    <row r="602" spans="1:24" ht="12.75">
      <c r="A602" s="313" t="s">
        <v>35</v>
      </c>
      <c r="B602" s="388">
        <f>NPV(0.1,D602:Y602)</f>
        <v>84542.135140075377</v>
      </c>
      <c r="C602" s="388">
        <f>B602-B591</f>
        <v>1.8178631068149116</v>
      </c>
      <c r="D602" s="392">
        <v>-662.61283070300431</v>
      </c>
      <c r="E602" s="393">
        <v>4112.874879087276</v>
      </c>
      <c r="F602" s="393">
        <v>4283.600720585544</v>
      </c>
      <c r="G602" s="393">
        <v>7545.5046858206788</v>
      </c>
      <c r="H602" s="393">
        <v>10267.319423053767</v>
      </c>
      <c r="I602" s="393">
        <v>10816.325315932076</v>
      </c>
      <c r="J602" s="393">
        <v>11324.162934429962</v>
      </c>
      <c r="K602" s="393">
        <v>12177.33567111529</v>
      </c>
      <c r="L602" s="393">
        <v>12630.456961132202</v>
      </c>
      <c r="M602" s="393">
        <v>13683.878748203862</v>
      </c>
      <c r="N602" s="394">
        <v>14436.110938922973</v>
      </c>
      <c r="O602" s="252">
        <v>15191.08454207871</v>
      </c>
      <c r="P602" s="252">
        <v>15529.615878117174</v>
      </c>
      <c r="Q602" s="252">
        <v>15859.024175982699</v>
      </c>
      <c r="R602" s="252">
        <v>16178.613146457956</v>
      </c>
      <c r="S602" s="252">
        <v>16487.652933706871</v>
      </c>
      <c r="T602" s="252">
        <v>16785.37872793791</v>
      </c>
      <c r="U602" s="252">
        <v>17244.068519983652</v>
      </c>
      <c r="V602" s="252">
        <v>17759.035699108779</v>
      </c>
      <c r="W602" s="252">
        <v>18364.017568586725</v>
      </c>
      <c r="X602" s="252">
        <v>5008.4117505770328</v>
      </c>
    </row>
    <row r="603" spans="1:24" ht="12.75">
      <c r="A603" s="313" t="s">
        <v>32</v>
      </c>
      <c r="B603" s="388">
        <f>NPV(0.1,D603:Y603)</f>
        <v>92100.730272122732</v>
      </c>
      <c r="C603" s="388">
        <f>B603-B592</f>
        <v>12.297706397846923</v>
      </c>
      <c r="D603" s="395">
        <v>-2886.2759396482652</v>
      </c>
      <c r="E603" s="396">
        <v>7199.9028129214421</v>
      </c>
      <c r="F603" s="396">
        <v>5515.1164284095266</v>
      </c>
      <c r="G603" s="396">
        <v>9013.6092285328923</v>
      </c>
      <c r="H603" s="396">
        <v>16646.284327005538</v>
      </c>
      <c r="I603" s="396">
        <v>13038.788712152749</v>
      </c>
      <c r="J603" s="396">
        <v>12462.132156292588</v>
      </c>
      <c r="K603" s="396">
        <v>13322.209062515027</v>
      </c>
      <c r="L603" s="396">
        <v>9826.3081479948232</v>
      </c>
      <c r="M603" s="396">
        <v>8205.9938408036032</v>
      </c>
      <c r="N603" s="397">
        <v>18806.6169494856</v>
      </c>
      <c r="O603" s="252">
        <v>18858.913475878449</v>
      </c>
      <c r="P603" s="252">
        <v>19190.540642379805</v>
      </c>
      <c r="Q603" s="252">
        <v>19526.853109782431</v>
      </c>
      <c r="R603" s="252">
        <v>19839.537910720581</v>
      </c>
      <c r="S603" s="252">
        <v>18111.847684521308</v>
      </c>
      <c r="T603" s="252">
        <v>12824.937233804159</v>
      </c>
      <c r="U603" s="252">
        <v>11864.4645332499</v>
      </c>
      <c r="V603" s="252">
        <v>10250.687973475033</v>
      </c>
      <c r="W603" s="252">
        <v>9436.5073503529766</v>
      </c>
      <c r="X603" s="252">
        <v>8100.032719443283</v>
      </c>
    </row>
    <row r="606" spans="1:24">
      <c r="A606" s="1071" t="s">
        <v>682</v>
      </c>
    </row>
    <row r="607" spans="1:24">
      <c r="A607" s="333">
        <v>36396</v>
      </c>
    </row>
    <row r="608" spans="1:24" ht="12.75">
      <c r="A608" s="308" t="s">
        <v>416</v>
      </c>
      <c r="B608" s="309">
        <v>37537.55902164313</v>
      </c>
      <c r="C608" s="247"/>
      <c r="D608" s="247"/>
      <c r="E608" s="247"/>
      <c r="F608" s="247"/>
      <c r="G608" s="247"/>
      <c r="H608" s="247"/>
      <c r="I608" s="247"/>
      <c r="J608" s="247"/>
      <c r="K608" s="247"/>
      <c r="L608" s="247"/>
      <c r="M608" s="247"/>
      <c r="N608" s="247"/>
      <c r="O608" s="247"/>
      <c r="P608" s="247"/>
      <c r="Q608" s="247"/>
      <c r="R608" s="247"/>
      <c r="S608" s="247"/>
      <c r="T608" s="247"/>
      <c r="U608" s="247"/>
      <c r="V608" s="247"/>
      <c r="W608" s="247"/>
      <c r="X608" s="247"/>
    </row>
    <row r="609" spans="1:24" ht="12.75">
      <c r="A609" s="310" t="s">
        <v>417</v>
      </c>
      <c r="B609" s="311">
        <v>70778.63761792719</v>
      </c>
      <c r="C609" s="247"/>
      <c r="D609" s="247"/>
      <c r="E609" s="247"/>
      <c r="F609" s="247"/>
      <c r="G609" s="247"/>
      <c r="H609" s="247"/>
      <c r="I609" s="247"/>
      <c r="J609" s="247"/>
      <c r="K609" s="247"/>
      <c r="L609" s="247"/>
      <c r="M609" s="247"/>
      <c r="N609" s="247"/>
      <c r="O609" s="247"/>
      <c r="P609" s="247"/>
      <c r="Q609" s="247"/>
      <c r="R609" s="247"/>
      <c r="S609" s="247"/>
      <c r="T609" s="247"/>
      <c r="U609" s="247"/>
      <c r="V609" s="247"/>
      <c r="W609" s="247"/>
      <c r="X609" s="247"/>
    </row>
    <row r="610" spans="1:24" ht="12.75">
      <c r="A610" s="312" t="s">
        <v>418</v>
      </c>
      <c r="B610" s="387" t="s">
        <v>469</v>
      </c>
      <c r="C610" s="387" t="s">
        <v>470</v>
      </c>
      <c r="D610" s="389">
        <v>2000</v>
      </c>
      <c r="E610" s="390">
        <v>2001</v>
      </c>
      <c r="F610" s="390">
        <v>2002</v>
      </c>
      <c r="G610" s="390">
        <v>2003</v>
      </c>
      <c r="H610" s="390">
        <v>2004</v>
      </c>
      <c r="I610" s="390">
        <v>2005</v>
      </c>
      <c r="J610" s="390">
        <v>2006</v>
      </c>
      <c r="K610" s="390">
        <v>2007</v>
      </c>
      <c r="L610" s="390">
        <v>2008</v>
      </c>
      <c r="M610" s="390">
        <v>2009</v>
      </c>
      <c r="N610" s="391">
        <v>2010</v>
      </c>
      <c r="O610" s="248">
        <v>2011</v>
      </c>
      <c r="P610" s="248">
        <v>2012</v>
      </c>
      <c r="Q610" s="248">
        <v>2013</v>
      </c>
      <c r="R610" s="248">
        <v>2014</v>
      </c>
      <c r="S610" s="248">
        <v>2015</v>
      </c>
      <c r="T610" s="248">
        <v>2016</v>
      </c>
      <c r="U610" s="248">
        <v>2017</v>
      </c>
      <c r="V610" s="248">
        <v>2018</v>
      </c>
      <c r="W610" s="248">
        <v>2019</v>
      </c>
      <c r="X610" s="248">
        <v>2020</v>
      </c>
    </row>
    <row r="611" spans="1:24" ht="12.75">
      <c r="A611" s="312" t="s">
        <v>419</v>
      </c>
      <c r="B611" s="388">
        <f>NPV(0.1,D611:Y611)</f>
        <v>452746.27299632051</v>
      </c>
      <c r="C611" s="388">
        <f>B611-B600</f>
        <v>-7.9939729766920209E-4</v>
      </c>
      <c r="D611" s="392">
        <v>34109.680711946079</v>
      </c>
      <c r="E611" s="393">
        <v>44409.663525127173</v>
      </c>
      <c r="F611" s="393">
        <v>44506.746723374723</v>
      </c>
      <c r="G611" s="393">
        <v>50218.284458197966</v>
      </c>
      <c r="H611" s="393">
        <v>54574.649118246278</v>
      </c>
      <c r="I611" s="393">
        <v>55063.729143889868</v>
      </c>
      <c r="J611" s="393">
        <v>55548.63068893626</v>
      </c>
      <c r="K611" s="393">
        <v>56699.602373606482</v>
      </c>
      <c r="L611" s="393">
        <v>57194.192949093282</v>
      </c>
      <c r="M611" s="393">
        <v>58394.531501568206</v>
      </c>
      <c r="N611" s="394">
        <v>58897.8935160767</v>
      </c>
      <c r="O611" s="252">
        <v>60149.343085561137</v>
      </c>
      <c r="P611" s="252">
        <v>60660.710557891885</v>
      </c>
      <c r="Q611" s="252">
        <v>61164.090286865401</v>
      </c>
      <c r="R611" s="252">
        <v>61658.542777155162</v>
      </c>
      <c r="S611" s="252">
        <v>62143.079352684064</v>
      </c>
      <c r="T611" s="252">
        <v>62616.660051325198</v>
      </c>
      <c r="U611" s="252">
        <v>63078.191437547321</v>
      </c>
      <c r="V611" s="252">
        <v>63526.524329976521</v>
      </c>
      <c r="W611" s="252">
        <v>63960.451440737597</v>
      </c>
      <c r="X611" s="252">
        <v>38508.418614001195</v>
      </c>
    </row>
    <row r="612" spans="1:24" ht="12.75">
      <c r="A612" s="313" t="s">
        <v>420</v>
      </c>
      <c r="B612" s="388">
        <f>NPV(0.1,D612:Y612)</f>
        <v>208058.71519997186</v>
      </c>
      <c r="C612" s="388">
        <f>B612-B601</f>
        <v>-7.9939732677303255E-4</v>
      </c>
      <c r="D612" s="392">
        <v>21350.589946710788</v>
      </c>
      <c r="E612" s="393">
        <v>22379.98659518599</v>
      </c>
      <c r="F612" s="393">
        <v>22543.444065845306</v>
      </c>
      <c r="G612" s="393">
        <v>23349.435068625484</v>
      </c>
      <c r="H612" s="393">
        <v>23842.059748380154</v>
      </c>
      <c r="I612" s="393">
        <v>24034.685142465296</v>
      </c>
      <c r="J612" s="393">
        <v>24233.206839852894</v>
      </c>
      <c r="K612" s="393">
        <v>24437.958097040617</v>
      </c>
      <c r="L612" s="393">
        <v>24648.851891943974</v>
      </c>
      <c r="M612" s="393">
        <v>24866.07250069443</v>
      </c>
      <c r="N612" s="394">
        <v>25089.809727707401</v>
      </c>
      <c r="O612" s="252">
        <v>25320.25907153076</v>
      </c>
      <c r="P612" s="252">
        <v>25557.621895668817</v>
      </c>
      <c r="Q612" s="252">
        <v>25802.105604531022</v>
      </c>
      <c r="R612" s="252">
        <v>26053.92382465909</v>
      </c>
      <c r="S612" s="252">
        <v>26313.296591391005</v>
      </c>
      <c r="T612" s="252">
        <v>26580.450541124872</v>
      </c>
      <c r="U612" s="252">
        <v>26855.619109350755</v>
      </c>
      <c r="V612" s="252">
        <v>27139.042734623417</v>
      </c>
      <c r="W612" s="252">
        <v>27430.969068654256</v>
      </c>
      <c r="X612" s="252">
        <v>25114.874696548006</v>
      </c>
    </row>
    <row r="613" spans="1:24" ht="12.75">
      <c r="A613" s="313" t="s">
        <v>35</v>
      </c>
      <c r="B613" s="388">
        <f>NPV(0.1,D613:Y613)</f>
        <v>84545.988696253058</v>
      </c>
      <c r="C613" s="388">
        <f>B613-B602</f>
        <v>3.8535561776807299</v>
      </c>
      <c r="D613" s="392">
        <v>-662.30499090951423</v>
      </c>
      <c r="E613" s="393">
        <v>4112.9539272302118</v>
      </c>
      <c r="F613" s="393">
        <v>4283.6590125570947</v>
      </c>
      <c r="G613" s="393">
        <v>7545.533460047368</v>
      </c>
      <c r="H613" s="393">
        <v>10267.309917962149</v>
      </c>
      <c r="I613" s="393">
        <v>10816.845930804426</v>
      </c>
      <c r="J613" s="393">
        <v>11325.055252187114</v>
      </c>
      <c r="K613" s="393">
        <v>12178.200240726232</v>
      </c>
      <c r="L613" s="393">
        <v>12631.293782596931</v>
      </c>
      <c r="M613" s="393">
        <v>13684.67029837546</v>
      </c>
      <c r="N613" s="394">
        <v>14436.845047894882</v>
      </c>
      <c r="O613" s="252">
        <v>15191.805017718234</v>
      </c>
      <c r="P613" s="252">
        <v>15530.319312091222</v>
      </c>
      <c r="Q613" s="252">
        <v>15859.710568291281</v>
      </c>
      <c r="R613" s="252">
        <v>16179.28249710105</v>
      </c>
      <c r="S613" s="252">
        <v>16488.305242684492</v>
      </c>
      <c r="T613" s="252">
        <v>16786.013995250054</v>
      </c>
      <c r="U613" s="252">
        <v>17244.669703964842</v>
      </c>
      <c r="V613" s="252">
        <v>17759.595983092826</v>
      </c>
      <c r="W613" s="252">
        <v>18364.526727574346</v>
      </c>
      <c r="X613" s="252">
        <v>5008.8629679020341</v>
      </c>
    </row>
    <row r="614" spans="1:24" ht="12.75">
      <c r="A614" s="313" t="s">
        <v>32</v>
      </c>
      <c r="B614" s="388">
        <f>NPV(0.1,D614:Y614)</f>
        <v>92107.172675546972</v>
      </c>
      <c r="C614" s="388">
        <f>B614-B603</f>
        <v>6.4424034242401831</v>
      </c>
      <c r="D614" s="395">
        <v>-2884.7538580417713</v>
      </c>
      <c r="E614" s="396">
        <v>7201.3900906354429</v>
      </c>
      <c r="F614" s="396">
        <v>5516.7629759810297</v>
      </c>
      <c r="G614" s="396">
        <v>9015.4003545790056</v>
      </c>
      <c r="H614" s="396">
        <v>16644.883195822895</v>
      </c>
      <c r="I614" s="396">
        <v>13039.415895611684</v>
      </c>
      <c r="J614" s="396">
        <v>12462.570417947234</v>
      </c>
      <c r="K614" s="396">
        <v>13322.61855808122</v>
      </c>
      <c r="L614" s="396">
        <v>9827.0790608570569</v>
      </c>
      <c r="M614" s="396">
        <v>8206.9824047304483</v>
      </c>
      <c r="N614" s="397">
        <v>18806.578721405007</v>
      </c>
      <c r="O614" s="252">
        <v>18858.930463073222</v>
      </c>
      <c r="P614" s="252">
        <v>19190.541605851344</v>
      </c>
      <c r="Q614" s="252">
        <v>19526.836013646272</v>
      </c>
      <c r="R614" s="252">
        <v>19839.504790861174</v>
      </c>
      <c r="S614" s="252">
        <v>18112.09781596018</v>
      </c>
      <c r="T614" s="252">
        <v>12825.819949291305</v>
      </c>
      <c r="U614" s="252">
        <v>11865.452898506088</v>
      </c>
      <c r="V614" s="252">
        <v>10251.845038384083</v>
      </c>
      <c r="W614" s="252">
        <v>9437.7530233655907</v>
      </c>
      <c r="X614" s="252">
        <v>8100.0327194432857</v>
      </c>
    </row>
    <row r="617" spans="1:24">
      <c r="A617" s="1071" t="s">
        <v>683</v>
      </c>
    </row>
    <row r="618" spans="1:24">
      <c r="A618" s="333">
        <v>36403</v>
      </c>
    </row>
    <row r="619" spans="1:24" ht="12.75">
      <c r="A619" s="308" t="s">
        <v>416</v>
      </c>
      <c r="B619" s="309">
        <v>37537.55902164313</v>
      </c>
      <c r="C619" s="247"/>
      <c r="D619" s="247"/>
      <c r="E619" s="247"/>
      <c r="F619" s="247"/>
      <c r="G619" s="247"/>
      <c r="H619" s="247"/>
      <c r="I619" s="247"/>
      <c r="J619" s="247"/>
      <c r="K619" s="247"/>
      <c r="L619" s="247"/>
      <c r="M619" s="247"/>
      <c r="N619" s="247"/>
      <c r="O619" s="247"/>
      <c r="P619" s="247"/>
      <c r="Q619" s="247"/>
      <c r="R619" s="247"/>
      <c r="S619" s="247"/>
      <c r="T619" s="247"/>
      <c r="U619" s="247"/>
      <c r="V619" s="247"/>
      <c r="W619" s="247"/>
      <c r="X619" s="247"/>
    </row>
    <row r="620" spans="1:24" ht="12.75">
      <c r="A620" s="310" t="s">
        <v>417</v>
      </c>
      <c r="B620" s="311">
        <v>70778.63761792719</v>
      </c>
      <c r="C620" s="247"/>
      <c r="D620" s="247"/>
      <c r="E620" s="247"/>
      <c r="F620" s="247"/>
      <c r="G620" s="247"/>
      <c r="H620" s="247"/>
      <c r="I620" s="247"/>
      <c r="J620" s="247"/>
      <c r="K620" s="247"/>
      <c r="L620" s="247"/>
      <c r="M620" s="247"/>
      <c r="N620" s="247"/>
      <c r="O620" s="247"/>
      <c r="P620" s="247"/>
      <c r="Q620" s="247"/>
      <c r="R620" s="247"/>
      <c r="S620" s="247"/>
      <c r="T620" s="247"/>
      <c r="U620" s="247"/>
      <c r="V620" s="247"/>
      <c r="W620" s="247"/>
      <c r="X620" s="247"/>
    </row>
    <row r="621" spans="1:24" ht="12.75">
      <c r="A621" s="312" t="s">
        <v>418</v>
      </c>
      <c r="B621" s="387" t="s">
        <v>469</v>
      </c>
      <c r="C621" s="387" t="s">
        <v>470</v>
      </c>
      <c r="D621" s="389">
        <v>2000</v>
      </c>
      <c r="E621" s="390">
        <v>2001</v>
      </c>
      <c r="F621" s="390">
        <v>2002</v>
      </c>
      <c r="G621" s="390">
        <v>2003</v>
      </c>
      <c r="H621" s="390">
        <v>2004</v>
      </c>
      <c r="I621" s="390">
        <v>2005</v>
      </c>
      <c r="J621" s="390">
        <v>2006</v>
      </c>
      <c r="K621" s="390">
        <v>2007</v>
      </c>
      <c r="L621" s="390">
        <v>2008</v>
      </c>
      <c r="M621" s="390">
        <v>2009</v>
      </c>
      <c r="N621" s="391">
        <v>2010</v>
      </c>
      <c r="O621" s="248">
        <v>2011</v>
      </c>
      <c r="P621" s="248">
        <v>2012</v>
      </c>
      <c r="Q621" s="248">
        <v>2013</v>
      </c>
      <c r="R621" s="248">
        <v>2014</v>
      </c>
      <c r="S621" s="248">
        <v>2015</v>
      </c>
      <c r="T621" s="248">
        <v>2016</v>
      </c>
      <c r="U621" s="248">
        <v>2017</v>
      </c>
      <c r="V621" s="248">
        <v>2018</v>
      </c>
      <c r="W621" s="248">
        <v>2019</v>
      </c>
      <c r="X621" s="248">
        <v>2020</v>
      </c>
    </row>
    <row r="622" spans="1:24" ht="12.75">
      <c r="A622" s="312" t="s">
        <v>419</v>
      </c>
      <c r="B622" s="388">
        <f>NPV(0.1,D622:Y622)</f>
        <v>452746.27299632051</v>
      </c>
      <c r="C622" s="388">
        <f>B622-B611</f>
        <v>0</v>
      </c>
      <c r="D622" s="392">
        <v>34109.680711946079</v>
      </c>
      <c r="E622" s="393">
        <v>44409.663525127173</v>
      </c>
      <c r="F622" s="393">
        <v>44506.746723374723</v>
      </c>
      <c r="G622" s="393">
        <v>50218.284458197966</v>
      </c>
      <c r="H622" s="393">
        <v>54574.649118246278</v>
      </c>
      <c r="I622" s="393">
        <v>55063.729143889868</v>
      </c>
      <c r="J622" s="393">
        <v>55548.63068893626</v>
      </c>
      <c r="K622" s="393">
        <v>56699.602373606482</v>
      </c>
      <c r="L622" s="393">
        <v>57194.192949093282</v>
      </c>
      <c r="M622" s="393">
        <v>58394.531501568206</v>
      </c>
      <c r="N622" s="394">
        <v>58897.8935160767</v>
      </c>
      <c r="O622" s="252">
        <v>60149.343085561137</v>
      </c>
      <c r="P622" s="252">
        <v>60660.710557891885</v>
      </c>
      <c r="Q622" s="252">
        <v>61164.090286865401</v>
      </c>
      <c r="R622" s="252">
        <v>61658.542777155162</v>
      </c>
      <c r="S622" s="252">
        <v>62143.079352684064</v>
      </c>
      <c r="T622" s="252">
        <v>62616.660051325198</v>
      </c>
      <c r="U622" s="252">
        <v>63078.191437547321</v>
      </c>
      <c r="V622" s="252">
        <v>63526.524329976521</v>
      </c>
      <c r="W622" s="252">
        <v>63960.451440737597</v>
      </c>
      <c r="X622" s="252">
        <v>38508.418614001195</v>
      </c>
    </row>
    <row r="623" spans="1:24" ht="12.75">
      <c r="A623" s="313" t="s">
        <v>420</v>
      </c>
      <c r="B623" s="388">
        <f>NPV(0.1,D623:Y623)</f>
        <v>208058.71519997186</v>
      </c>
      <c r="C623" s="388">
        <f>B623-B612</f>
        <v>0</v>
      </c>
      <c r="D623" s="392">
        <v>21350.589946710788</v>
      </c>
      <c r="E623" s="393">
        <v>22379.98659518599</v>
      </c>
      <c r="F623" s="393">
        <v>22543.444065845306</v>
      </c>
      <c r="G623" s="393">
        <v>23349.435068625484</v>
      </c>
      <c r="H623" s="393">
        <v>23842.059748380154</v>
      </c>
      <c r="I623" s="393">
        <v>24034.685142465296</v>
      </c>
      <c r="J623" s="393">
        <v>24233.206839852894</v>
      </c>
      <c r="K623" s="393">
        <v>24437.958097040617</v>
      </c>
      <c r="L623" s="393">
        <v>24648.851891943974</v>
      </c>
      <c r="M623" s="393">
        <v>24866.07250069443</v>
      </c>
      <c r="N623" s="394">
        <v>25089.809727707401</v>
      </c>
      <c r="O623" s="252">
        <v>25320.25907153076</v>
      </c>
      <c r="P623" s="252">
        <v>25557.621895668817</v>
      </c>
      <c r="Q623" s="252">
        <v>25802.105604531022</v>
      </c>
      <c r="R623" s="252">
        <v>26053.92382465909</v>
      </c>
      <c r="S623" s="252">
        <v>26313.296591391005</v>
      </c>
      <c r="T623" s="252">
        <v>26580.450541124872</v>
      </c>
      <c r="U623" s="252">
        <v>26855.619109350755</v>
      </c>
      <c r="V623" s="252">
        <v>27139.042734623417</v>
      </c>
      <c r="W623" s="252">
        <v>27430.969068654256</v>
      </c>
      <c r="X623" s="252">
        <v>25114.874696548006</v>
      </c>
    </row>
    <row r="624" spans="1:24" ht="12.75">
      <c r="A624" s="313" t="s">
        <v>35</v>
      </c>
      <c r="B624" s="388">
        <f>NPV(0.1,D624:Y624)</f>
        <v>84545.988696253058</v>
      </c>
      <c r="C624" s="388">
        <f>B624-B613</f>
        <v>0</v>
      </c>
      <c r="D624" s="392">
        <v>-662.30499090951423</v>
      </c>
      <c r="E624" s="393">
        <v>4112.9539272302118</v>
      </c>
      <c r="F624" s="393">
        <v>4283.6590125570947</v>
      </c>
      <c r="G624" s="393">
        <v>7545.533460047368</v>
      </c>
      <c r="H624" s="393">
        <v>10267.309917962149</v>
      </c>
      <c r="I624" s="393">
        <v>10816.845930804426</v>
      </c>
      <c r="J624" s="393">
        <v>11325.055252187114</v>
      </c>
      <c r="K624" s="393">
        <v>12178.200240726232</v>
      </c>
      <c r="L624" s="393">
        <v>12631.293782596931</v>
      </c>
      <c r="M624" s="393">
        <v>13684.67029837546</v>
      </c>
      <c r="N624" s="394">
        <v>14436.845047894882</v>
      </c>
      <c r="O624" s="252">
        <v>15191.805017718234</v>
      </c>
      <c r="P624" s="252">
        <v>15530.319312091222</v>
      </c>
      <c r="Q624" s="252">
        <v>15859.710568291281</v>
      </c>
      <c r="R624" s="252">
        <v>16179.28249710105</v>
      </c>
      <c r="S624" s="252">
        <v>16488.305242684492</v>
      </c>
      <c r="T624" s="252">
        <v>16786.013995250054</v>
      </c>
      <c r="U624" s="252">
        <v>17244.669703964842</v>
      </c>
      <c r="V624" s="252">
        <v>17759.595983092826</v>
      </c>
      <c r="W624" s="252">
        <v>18364.526727574346</v>
      </c>
      <c r="X624" s="252">
        <v>5008.8629679020341</v>
      </c>
    </row>
    <row r="625" spans="1:24" ht="12.75">
      <c r="A625" s="313" t="s">
        <v>32</v>
      </c>
      <c r="B625" s="388">
        <f>NPV(0.1,D625:Y625)</f>
        <v>92107.172675546972</v>
      </c>
      <c r="C625" s="388">
        <f>B625-B614</f>
        <v>0</v>
      </c>
      <c r="D625" s="395">
        <v>-2884.7538580417713</v>
      </c>
      <c r="E625" s="396">
        <v>7201.3900906354429</v>
      </c>
      <c r="F625" s="396">
        <v>5516.7629759810297</v>
      </c>
      <c r="G625" s="396">
        <v>9015.4003545790056</v>
      </c>
      <c r="H625" s="396">
        <v>16644.883195822895</v>
      </c>
      <c r="I625" s="396">
        <v>13039.415895611684</v>
      </c>
      <c r="J625" s="396">
        <v>12462.570417947234</v>
      </c>
      <c r="K625" s="396">
        <v>13322.61855808122</v>
      </c>
      <c r="L625" s="396">
        <v>9827.0790608570569</v>
      </c>
      <c r="M625" s="396">
        <v>8206.9824047304483</v>
      </c>
      <c r="N625" s="397">
        <v>18806.578721405007</v>
      </c>
      <c r="O625" s="252">
        <v>18858.930463073222</v>
      </c>
      <c r="P625" s="252">
        <v>19190.541605851344</v>
      </c>
      <c r="Q625" s="252">
        <v>19526.836013646272</v>
      </c>
      <c r="R625" s="252">
        <v>19839.504790861174</v>
      </c>
      <c r="S625" s="252">
        <v>18112.09781596018</v>
      </c>
      <c r="T625" s="252">
        <v>12825.819949291305</v>
      </c>
      <c r="U625" s="252">
        <v>11865.452898506088</v>
      </c>
      <c r="V625" s="252">
        <v>10251.845038384083</v>
      </c>
      <c r="W625" s="252">
        <v>9437.7530233655907</v>
      </c>
      <c r="X625" s="252">
        <v>8100.0327194432857</v>
      </c>
    </row>
    <row r="628" spans="1:24">
      <c r="A628" s="1071" t="s">
        <v>684</v>
      </c>
    </row>
    <row r="629" spans="1:24">
      <c r="A629" s="333">
        <v>36412</v>
      </c>
    </row>
    <row r="630" spans="1:24" ht="12.75">
      <c r="A630" s="308" t="s">
        <v>416</v>
      </c>
      <c r="B630" s="309">
        <v>37547.775759305681</v>
      </c>
      <c r="C630" s="247"/>
      <c r="D630" s="247"/>
      <c r="E630" s="247"/>
      <c r="F630" s="247"/>
      <c r="G630" s="247"/>
      <c r="H630" s="247"/>
      <c r="I630" s="247"/>
      <c r="J630" s="247"/>
      <c r="K630" s="247"/>
      <c r="L630" s="247"/>
      <c r="M630" s="247"/>
      <c r="N630" s="247"/>
      <c r="O630" s="247"/>
      <c r="P630" s="247"/>
      <c r="Q630" s="247"/>
      <c r="R630" s="247"/>
      <c r="S630" s="247"/>
      <c r="T630" s="247"/>
      <c r="U630" s="247"/>
      <c r="V630" s="247"/>
      <c r="W630" s="247"/>
      <c r="X630" s="247"/>
    </row>
    <row r="631" spans="1:24" ht="12.75">
      <c r="A631" s="310" t="s">
        <v>417</v>
      </c>
      <c r="B631" s="311">
        <v>70793.959815447277</v>
      </c>
      <c r="C631" s="247"/>
      <c r="D631" s="247"/>
      <c r="E631" s="247"/>
      <c r="F631" s="247"/>
      <c r="G631" s="247"/>
      <c r="H631" s="247"/>
      <c r="I631" s="247"/>
      <c r="J631" s="247"/>
      <c r="K631" s="247"/>
      <c r="L631" s="247"/>
      <c r="M631" s="247"/>
      <c r="N631" s="247"/>
      <c r="O631" s="247"/>
      <c r="P631" s="247"/>
      <c r="Q631" s="247"/>
      <c r="R631" s="247"/>
      <c r="S631" s="247"/>
      <c r="T631" s="247"/>
      <c r="U631" s="247"/>
      <c r="V631" s="247"/>
      <c r="W631" s="247"/>
      <c r="X631" s="247"/>
    </row>
    <row r="632" spans="1:24" ht="12.75">
      <c r="A632" s="312" t="s">
        <v>418</v>
      </c>
      <c r="B632" s="387" t="s">
        <v>469</v>
      </c>
      <c r="C632" s="387" t="s">
        <v>470</v>
      </c>
      <c r="D632" s="389">
        <v>2000</v>
      </c>
      <c r="E632" s="390">
        <v>2001</v>
      </c>
      <c r="F632" s="390">
        <v>2002</v>
      </c>
      <c r="G632" s="390">
        <v>2003</v>
      </c>
      <c r="H632" s="390">
        <v>2004</v>
      </c>
      <c r="I632" s="390">
        <v>2005</v>
      </c>
      <c r="J632" s="390">
        <v>2006</v>
      </c>
      <c r="K632" s="390">
        <v>2007</v>
      </c>
      <c r="L632" s="390">
        <v>2008</v>
      </c>
      <c r="M632" s="390">
        <v>2009</v>
      </c>
      <c r="N632" s="391">
        <v>2010</v>
      </c>
      <c r="O632" s="248">
        <v>2011</v>
      </c>
      <c r="P632" s="248">
        <v>2012</v>
      </c>
      <c r="Q632" s="248">
        <v>2013</v>
      </c>
      <c r="R632" s="248">
        <v>2014</v>
      </c>
      <c r="S632" s="248">
        <v>2015</v>
      </c>
      <c r="T632" s="248">
        <v>2016</v>
      </c>
      <c r="U632" s="248">
        <v>2017</v>
      </c>
      <c r="V632" s="248">
        <v>2018</v>
      </c>
      <c r="W632" s="248">
        <v>2019</v>
      </c>
      <c r="X632" s="248">
        <v>2020</v>
      </c>
    </row>
    <row r="633" spans="1:24" ht="12.75">
      <c r="A633" s="312" t="s">
        <v>419</v>
      </c>
      <c r="B633" s="388">
        <f>NPV(0.1,D633:Y633)</f>
        <v>452746.26509685628</v>
      </c>
      <c r="C633" s="388">
        <f>B633-B622</f>
        <v>-7.8994642244651914E-3</v>
      </c>
      <c r="D633" s="392">
        <v>34109.680154742578</v>
      </c>
      <c r="E633" s="393">
        <v>44409.662569921165</v>
      </c>
      <c r="F633" s="393">
        <v>44506.745768168723</v>
      </c>
      <c r="G633" s="393">
        <v>50218.283502991973</v>
      </c>
      <c r="H633" s="393">
        <v>54574.648163040278</v>
      </c>
      <c r="I633" s="393">
        <v>55063.728188683868</v>
      </c>
      <c r="J633" s="393">
        <v>55548.629733730253</v>
      </c>
      <c r="K633" s="393">
        <v>56699.601418400489</v>
      </c>
      <c r="L633" s="393">
        <v>57194.191993887282</v>
      </c>
      <c r="M633" s="393">
        <v>58394.530546362213</v>
      </c>
      <c r="N633" s="394">
        <v>58897.8925608707</v>
      </c>
      <c r="O633" s="252">
        <v>60149.342130355137</v>
      </c>
      <c r="P633" s="252">
        <v>60660.709602685878</v>
      </c>
      <c r="Q633" s="252">
        <v>61164.089331659401</v>
      </c>
      <c r="R633" s="252">
        <v>61658.541821949162</v>
      </c>
      <c r="S633" s="252">
        <v>62143.078397478064</v>
      </c>
      <c r="T633" s="252">
        <v>62616.659096119198</v>
      </c>
      <c r="U633" s="252">
        <v>63078.190482341328</v>
      </c>
      <c r="V633" s="252">
        <v>63526.523374770513</v>
      </c>
      <c r="W633" s="252">
        <v>63960.45048553159</v>
      </c>
      <c r="X633" s="252">
        <v>38508.417658795202</v>
      </c>
    </row>
    <row r="634" spans="1:24" ht="12.75">
      <c r="A634" s="313" t="s">
        <v>420</v>
      </c>
      <c r="B634" s="388">
        <f>NPV(0.1,D634:Y634)</f>
        <v>208058.70730050761</v>
      </c>
      <c r="C634" s="388">
        <f>B634-B623</f>
        <v>-7.8994642535690218E-3</v>
      </c>
      <c r="D634" s="392">
        <v>21350.589389507288</v>
      </c>
      <c r="E634" s="393">
        <v>22379.98563997999</v>
      </c>
      <c r="F634" s="393">
        <v>22543.443110639309</v>
      </c>
      <c r="G634" s="393">
        <v>23349.434113419484</v>
      </c>
      <c r="H634" s="393">
        <v>23842.058793174154</v>
      </c>
      <c r="I634" s="393">
        <v>24034.684187259296</v>
      </c>
      <c r="J634" s="393">
        <v>24233.205884646894</v>
      </c>
      <c r="K634" s="393">
        <v>24437.957141834617</v>
      </c>
      <c r="L634" s="393">
        <v>24648.850936737974</v>
      </c>
      <c r="M634" s="393">
        <v>24866.07154548843</v>
      </c>
      <c r="N634" s="394">
        <v>25089.808772501401</v>
      </c>
      <c r="O634" s="252">
        <v>25320.25811632476</v>
      </c>
      <c r="P634" s="252">
        <v>25557.620940462817</v>
      </c>
      <c r="Q634" s="252">
        <v>25802.104649325021</v>
      </c>
      <c r="R634" s="252">
        <v>26053.92286945309</v>
      </c>
      <c r="S634" s="252">
        <v>26313.295636185005</v>
      </c>
      <c r="T634" s="252">
        <v>26580.449585918872</v>
      </c>
      <c r="U634" s="252">
        <v>26855.618154144755</v>
      </c>
      <c r="V634" s="252">
        <v>27139.041779417417</v>
      </c>
      <c r="W634" s="252">
        <v>27430.968113448256</v>
      </c>
      <c r="X634" s="252">
        <v>25114.873741342009</v>
      </c>
    </row>
    <row r="635" spans="1:24" ht="12.75">
      <c r="A635" s="313" t="s">
        <v>35</v>
      </c>
      <c r="B635" s="388">
        <f>NPV(0.1,D635:Y635)</f>
        <v>84552.285759147446</v>
      </c>
      <c r="C635" s="388">
        <f>B635-B624</f>
        <v>6.2970628943876363</v>
      </c>
      <c r="D635" s="392">
        <v>-661.50607830998922</v>
      </c>
      <c r="E635" s="393">
        <v>4113.8634226298182</v>
      </c>
      <c r="F635" s="393">
        <v>4284.5472247895977</v>
      </c>
      <c r="G635" s="393">
        <v>7546.3914050844314</v>
      </c>
      <c r="H635" s="393">
        <v>10268.128611775413</v>
      </c>
      <c r="I635" s="393">
        <v>10817.639666820798</v>
      </c>
      <c r="J635" s="393">
        <v>11325.824030406589</v>
      </c>
      <c r="K635" s="393">
        <v>12178.940566278723</v>
      </c>
      <c r="L635" s="393">
        <v>12632.005655482428</v>
      </c>
      <c r="M635" s="393">
        <v>13685.335750537282</v>
      </c>
      <c r="N635" s="394">
        <v>14437.451600434564</v>
      </c>
      <c r="O635" s="252">
        <v>15192.397590777513</v>
      </c>
      <c r="P635" s="252">
        <v>15530.894410799989</v>
      </c>
      <c r="Q635" s="252">
        <v>15860.268192649542</v>
      </c>
      <c r="R635" s="252">
        <v>16179.822647108806</v>
      </c>
      <c r="S635" s="252">
        <v>16488.82791834174</v>
      </c>
      <c r="T635" s="252">
        <v>16786.519196556794</v>
      </c>
      <c r="U635" s="252">
        <v>17245.139956570572</v>
      </c>
      <c r="V635" s="252">
        <v>17760.024297257321</v>
      </c>
      <c r="W635" s="252">
        <v>18364.902618687323</v>
      </c>
      <c r="X635" s="252">
        <v>5009.1794462232883</v>
      </c>
    </row>
    <row r="636" spans="1:24" ht="12.75">
      <c r="A636" s="313" t="s">
        <v>32</v>
      </c>
      <c r="B636" s="388">
        <f>NPV(0.1,D636:Y636)</f>
        <v>92113.288130220637</v>
      </c>
      <c r="C636" s="388">
        <f>B636-B625</f>
        <v>6.1154546736652264</v>
      </c>
      <c r="D636" s="395">
        <v>-2883.1931310382688</v>
      </c>
      <c r="E636" s="396">
        <v>7202.9151300814401</v>
      </c>
      <c r="F636" s="396">
        <v>5518.4513291195326</v>
      </c>
      <c r="G636" s="396">
        <v>9017.2369570153951</v>
      </c>
      <c r="H636" s="396">
        <v>16641.665926906313</v>
      </c>
      <c r="I636" s="396">
        <v>13039.989631987266</v>
      </c>
      <c r="J636" s="396">
        <v>12463.214398060591</v>
      </c>
      <c r="K636" s="396">
        <v>13323.233371555316</v>
      </c>
      <c r="L636" s="396">
        <v>9828.0641381364294</v>
      </c>
      <c r="M636" s="396">
        <v>8208.1909890138813</v>
      </c>
      <c r="N636" s="397">
        <v>18806.734113788567</v>
      </c>
      <c r="O636" s="252">
        <v>18859.142802454113</v>
      </c>
      <c r="P636" s="252">
        <v>19190.737184853984</v>
      </c>
      <c r="Q636" s="252">
        <v>19527.013404326142</v>
      </c>
      <c r="R636" s="252">
        <v>19839.665421162805</v>
      </c>
      <c r="S636" s="252">
        <v>18112.451593728736</v>
      </c>
      <c r="T636" s="252">
        <v>12826.725076776798</v>
      </c>
      <c r="U636" s="252">
        <v>11866.466358190577</v>
      </c>
      <c r="V636" s="252">
        <v>10253.031480977323</v>
      </c>
      <c r="W636" s="252">
        <v>9439.0303238073211</v>
      </c>
      <c r="X636" s="252">
        <v>8100.0327194432894</v>
      </c>
    </row>
    <row r="639" spans="1:24">
      <c r="A639" s="1071" t="s">
        <v>685</v>
      </c>
    </row>
    <row r="640" spans="1:24">
      <c r="A640" s="333">
        <v>36419</v>
      </c>
    </row>
    <row r="641" spans="1:24" ht="12.75">
      <c r="A641" s="308" t="s">
        <v>416</v>
      </c>
      <c r="B641" s="309">
        <v>39176.996969222899</v>
      </c>
      <c r="C641" s="247"/>
      <c r="D641" s="247"/>
      <c r="E641" s="247"/>
      <c r="F641" s="247"/>
      <c r="G641" s="247"/>
      <c r="H641" s="247"/>
      <c r="I641" s="247"/>
      <c r="J641" s="247"/>
      <c r="K641" s="247"/>
      <c r="L641" s="247"/>
      <c r="M641" s="247"/>
      <c r="N641" s="247"/>
      <c r="O641" s="247"/>
      <c r="P641" s="247"/>
      <c r="Q641" s="247"/>
      <c r="R641" s="247"/>
      <c r="S641" s="247"/>
      <c r="T641" s="247"/>
      <c r="U641" s="247"/>
      <c r="V641" s="247"/>
      <c r="W641" s="247"/>
      <c r="X641" s="247"/>
    </row>
    <row r="642" spans="1:24" ht="12.75">
      <c r="A642" s="310" t="s">
        <v>417</v>
      </c>
      <c r="B642" s="311">
        <v>72959.910155190824</v>
      </c>
      <c r="C642" s="247"/>
      <c r="D642" s="247"/>
      <c r="E642" s="247"/>
      <c r="F642" s="247"/>
      <c r="G642" s="247"/>
      <c r="H642" s="247"/>
      <c r="I642" s="247"/>
      <c r="J642" s="247"/>
      <c r="K642" s="247"/>
      <c r="L642" s="247"/>
      <c r="M642" s="247"/>
      <c r="N642" s="247"/>
      <c r="O642" s="247"/>
      <c r="P642" s="247"/>
      <c r="Q642" s="247"/>
      <c r="R642" s="247"/>
      <c r="S642" s="247"/>
      <c r="T642" s="247"/>
      <c r="U642" s="247"/>
      <c r="V642" s="247"/>
      <c r="W642" s="247"/>
      <c r="X642" s="247"/>
    </row>
    <row r="643" spans="1:24" ht="12.75">
      <c r="A643" s="312" t="s">
        <v>418</v>
      </c>
      <c r="B643" s="387" t="s">
        <v>469</v>
      </c>
      <c r="C643" s="387" t="s">
        <v>470</v>
      </c>
      <c r="D643" s="389">
        <v>2000</v>
      </c>
      <c r="E643" s="390">
        <v>2001</v>
      </c>
      <c r="F643" s="390">
        <v>2002</v>
      </c>
      <c r="G643" s="390">
        <v>2003</v>
      </c>
      <c r="H643" s="390">
        <v>2004</v>
      </c>
      <c r="I643" s="390">
        <v>2005</v>
      </c>
      <c r="J643" s="390">
        <v>2006</v>
      </c>
      <c r="K643" s="390">
        <v>2007</v>
      </c>
      <c r="L643" s="390">
        <v>2008</v>
      </c>
      <c r="M643" s="390">
        <v>2009</v>
      </c>
      <c r="N643" s="391">
        <v>2010</v>
      </c>
      <c r="O643" s="248">
        <v>2011</v>
      </c>
      <c r="P643" s="248">
        <v>2012</v>
      </c>
      <c r="Q643" s="248">
        <v>2013</v>
      </c>
      <c r="R643" s="248">
        <v>2014</v>
      </c>
      <c r="S643" s="248">
        <v>2015</v>
      </c>
      <c r="T643" s="248">
        <v>2016</v>
      </c>
      <c r="U643" s="248">
        <v>2017</v>
      </c>
      <c r="V643" s="248">
        <v>2018</v>
      </c>
      <c r="W643" s="248">
        <v>2019</v>
      </c>
      <c r="X643" s="248">
        <v>2020</v>
      </c>
    </row>
    <row r="644" spans="1:24" ht="12.75">
      <c r="A644" s="312" t="s">
        <v>419</v>
      </c>
      <c r="B644" s="388">
        <f>NPV(0.1,D644:Y644)</f>
        <v>452746.26509685628</v>
      </c>
      <c r="C644" s="388">
        <f>B644-B633</f>
        <v>0</v>
      </c>
      <c r="D644" s="392">
        <v>34109.680154742578</v>
      </c>
      <c r="E644" s="393">
        <v>44409.662569921165</v>
      </c>
      <c r="F644" s="393">
        <v>44506.745768168723</v>
      </c>
      <c r="G644" s="393">
        <v>50218.283502991973</v>
      </c>
      <c r="H644" s="393">
        <v>54574.648163040278</v>
      </c>
      <c r="I644" s="393">
        <v>55063.728188683868</v>
      </c>
      <c r="J644" s="393">
        <v>55548.629733730253</v>
      </c>
      <c r="K644" s="393">
        <v>56699.601418400489</v>
      </c>
      <c r="L644" s="393">
        <v>57194.191993887282</v>
      </c>
      <c r="M644" s="393">
        <v>58394.530546362213</v>
      </c>
      <c r="N644" s="394">
        <v>58897.8925608707</v>
      </c>
      <c r="O644" s="252">
        <v>60149.342130355137</v>
      </c>
      <c r="P644" s="252">
        <v>60660.709602685878</v>
      </c>
      <c r="Q644" s="252">
        <v>61164.089331659401</v>
      </c>
      <c r="R644" s="252">
        <v>61658.541821949162</v>
      </c>
      <c r="S644" s="252">
        <v>62143.078397478064</v>
      </c>
      <c r="T644" s="252">
        <v>62616.659096119198</v>
      </c>
      <c r="U644" s="252">
        <v>63078.190482341328</v>
      </c>
      <c r="V644" s="252">
        <v>63526.523374770513</v>
      </c>
      <c r="W644" s="252">
        <v>63960.45048553159</v>
      </c>
      <c r="X644" s="252">
        <v>38508.417658795202</v>
      </c>
    </row>
    <row r="645" spans="1:24" ht="12.75">
      <c r="A645" s="313" t="s">
        <v>420</v>
      </c>
      <c r="B645" s="388">
        <f>NPV(0.1,D645:Y645)</f>
        <v>208058.70730050761</v>
      </c>
      <c r="C645" s="388">
        <f>B645-B634</f>
        <v>0</v>
      </c>
      <c r="D645" s="392">
        <v>21350.589389507288</v>
      </c>
      <c r="E645" s="393">
        <v>22379.98563997999</v>
      </c>
      <c r="F645" s="393">
        <v>22543.443110639309</v>
      </c>
      <c r="G645" s="393">
        <v>23349.434113419484</v>
      </c>
      <c r="H645" s="393">
        <v>23842.058793174154</v>
      </c>
      <c r="I645" s="393">
        <v>24034.684187259296</v>
      </c>
      <c r="J645" s="393">
        <v>24233.205884646894</v>
      </c>
      <c r="K645" s="393">
        <v>24437.957141834617</v>
      </c>
      <c r="L645" s="393">
        <v>24648.850936737974</v>
      </c>
      <c r="M645" s="393">
        <v>24866.07154548843</v>
      </c>
      <c r="N645" s="394">
        <v>25089.808772501401</v>
      </c>
      <c r="O645" s="252">
        <v>25320.25811632476</v>
      </c>
      <c r="P645" s="252">
        <v>25557.620940462817</v>
      </c>
      <c r="Q645" s="252">
        <v>25802.104649325021</v>
      </c>
      <c r="R645" s="252">
        <v>26053.92286945309</v>
      </c>
      <c r="S645" s="252">
        <v>26313.295636185005</v>
      </c>
      <c r="T645" s="252">
        <v>26580.449585918872</v>
      </c>
      <c r="U645" s="252">
        <v>26855.618154144755</v>
      </c>
      <c r="V645" s="252">
        <v>27139.041779417417</v>
      </c>
      <c r="W645" s="252">
        <v>27430.968113448256</v>
      </c>
      <c r="X645" s="252">
        <v>25114.873741342009</v>
      </c>
    </row>
    <row r="646" spans="1:24" ht="12.75">
      <c r="A646" s="313" t="s">
        <v>35</v>
      </c>
      <c r="B646" s="388">
        <f>NPV(0.1,D646:Y646)</f>
        <v>84552.285759147446</v>
      </c>
      <c r="C646" s="388">
        <f>B646-B635</f>
        <v>0</v>
      </c>
      <c r="D646" s="392">
        <v>-661.50607830998922</v>
      </c>
      <c r="E646" s="393">
        <v>4113.8634226298182</v>
      </c>
      <c r="F646" s="393">
        <v>4284.5472247895977</v>
      </c>
      <c r="G646" s="393">
        <v>7546.3914050844314</v>
      </c>
      <c r="H646" s="393">
        <v>10268.128611775413</v>
      </c>
      <c r="I646" s="393">
        <v>10817.639666820798</v>
      </c>
      <c r="J646" s="393">
        <v>11325.824030406589</v>
      </c>
      <c r="K646" s="393">
        <v>12178.940566278723</v>
      </c>
      <c r="L646" s="393">
        <v>12632.005655482428</v>
      </c>
      <c r="M646" s="393">
        <v>13685.335750537282</v>
      </c>
      <c r="N646" s="394">
        <v>14437.451600434564</v>
      </c>
      <c r="O646" s="252">
        <v>15192.397590777513</v>
      </c>
      <c r="P646" s="252">
        <v>15530.894410799989</v>
      </c>
      <c r="Q646" s="252">
        <v>15860.268192649542</v>
      </c>
      <c r="R646" s="252">
        <v>16179.822647108806</v>
      </c>
      <c r="S646" s="252">
        <v>16488.82791834174</v>
      </c>
      <c r="T646" s="252">
        <v>16786.519196556794</v>
      </c>
      <c r="U646" s="252">
        <v>17245.139956570572</v>
      </c>
      <c r="V646" s="252">
        <v>17760.024297257321</v>
      </c>
      <c r="W646" s="252">
        <v>18364.902618687323</v>
      </c>
      <c r="X646" s="252">
        <v>5009.1794462232883</v>
      </c>
    </row>
    <row r="647" spans="1:24" ht="12.75">
      <c r="A647" s="313" t="s">
        <v>32</v>
      </c>
      <c r="B647" s="388">
        <f>NPV(0.1,D647:Y647)</f>
        <v>92113.288130220637</v>
      </c>
      <c r="C647" s="388">
        <f>B647-B636</f>
        <v>0</v>
      </c>
      <c r="D647" s="395">
        <v>-2883.1931310382688</v>
      </c>
      <c r="E647" s="396">
        <v>7202.9151300814401</v>
      </c>
      <c r="F647" s="396">
        <v>5518.4513291195326</v>
      </c>
      <c r="G647" s="396">
        <v>9017.2369570153951</v>
      </c>
      <c r="H647" s="396">
        <v>16641.665926906313</v>
      </c>
      <c r="I647" s="396">
        <v>13039.989631987266</v>
      </c>
      <c r="J647" s="396">
        <v>12463.214398060591</v>
      </c>
      <c r="K647" s="396">
        <v>13323.233371555316</v>
      </c>
      <c r="L647" s="396">
        <v>9828.0641381364294</v>
      </c>
      <c r="M647" s="396">
        <v>8208.1909890138813</v>
      </c>
      <c r="N647" s="397">
        <v>18806.734113788567</v>
      </c>
      <c r="O647" s="252">
        <v>18859.142802454113</v>
      </c>
      <c r="P647" s="252">
        <v>19190.737184853984</v>
      </c>
      <c r="Q647" s="252">
        <v>19527.013404326142</v>
      </c>
      <c r="R647" s="252">
        <v>19839.665421162805</v>
      </c>
      <c r="S647" s="252">
        <v>18112.451593728736</v>
      </c>
      <c r="T647" s="252">
        <v>12826.725076776798</v>
      </c>
      <c r="U647" s="252">
        <v>11866.466358190577</v>
      </c>
      <c r="V647" s="252">
        <v>10253.031480977323</v>
      </c>
      <c r="W647" s="252">
        <v>9439.0303238073211</v>
      </c>
      <c r="X647" s="252">
        <v>8100.0327194432894</v>
      </c>
    </row>
    <row r="650" spans="1:24">
      <c r="A650" s="1071" t="s">
        <v>687</v>
      </c>
    </row>
    <row r="651" spans="1:24">
      <c r="A651" s="333">
        <v>36452</v>
      </c>
    </row>
    <row r="652" spans="1:24" ht="12.75">
      <c r="A652" s="308" t="s">
        <v>416</v>
      </c>
      <c r="B652" s="309">
        <v>39176.996969222899</v>
      </c>
      <c r="C652" s="247"/>
      <c r="D652" s="247"/>
      <c r="E652" s="247"/>
      <c r="F652" s="247"/>
      <c r="G652" s="247"/>
      <c r="H652" s="247"/>
      <c r="I652" s="247"/>
      <c r="J652" s="247"/>
      <c r="K652" s="247"/>
      <c r="L652" s="247"/>
      <c r="M652" s="247"/>
      <c r="N652" s="247"/>
      <c r="O652" s="247"/>
      <c r="P652" s="247"/>
      <c r="Q652" s="247"/>
      <c r="R652" s="247"/>
      <c r="S652" s="247"/>
      <c r="T652" s="247"/>
      <c r="U652" s="247"/>
      <c r="V652" s="247"/>
      <c r="W652" s="247"/>
      <c r="X652" s="247"/>
    </row>
    <row r="653" spans="1:24" ht="12.75">
      <c r="A653" s="310" t="s">
        <v>417</v>
      </c>
      <c r="B653" s="311">
        <v>72959.910155190824</v>
      </c>
      <c r="C653" s="247"/>
      <c r="D653" s="247"/>
      <c r="E653" s="247"/>
      <c r="F653" s="247"/>
      <c r="G653" s="247"/>
      <c r="H653" s="247"/>
      <c r="I653" s="247"/>
      <c r="J653" s="247"/>
      <c r="K653" s="247"/>
      <c r="L653" s="247"/>
      <c r="M653" s="247"/>
      <c r="N653" s="247"/>
      <c r="O653" s="247"/>
      <c r="P653" s="247"/>
      <c r="Q653" s="247"/>
      <c r="R653" s="247"/>
      <c r="S653" s="247"/>
      <c r="T653" s="247"/>
      <c r="U653" s="247"/>
      <c r="V653" s="247"/>
      <c r="W653" s="247"/>
      <c r="X653" s="247"/>
    </row>
    <row r="654" spans="1:24" ht="12.75">
      <c r="A654" s="312" t="s">
        <v>418</v>
      </c>
      <c r="B654" s="387" t="s">
        <v>469</v>
      </c>
      <c r="C654" s="387" t="s">
        <v>470</v>
      </c>
      <c r="D654" s="389">
        <v>2000</v>
      </c>
      <c r="E654" s="390">
        <v>2001</v>
      </c>
      <c r="F654" s="390">
        <v>2002</v>
      </c>
      <c r="G654" s="390">
        <v>2003</v>
      </c>
      <c r="H654" s="390">
        <v>2004</v>
      </c>
      <c r="I654" s="390">
        <v>2005</v>
      </c>
      <c r="J654" s="390">
        <v>2006</v>
      </c>
      <c r="K654" s="390">
        <v>2007</v>
      </c>
      <c r="L654" s="390">
        <v>2008</v>
      </c>
      <c r="M654" s="390">
        <v>2009</v>
      </c>
      <c r="N654" s="391">
        <v>2010</v>
      </c>
      <c r="O654" s="248">
        <v>2011</v>
      </c>
      <c r="P654" s="248">
        <v>2012</v>
      </c>
      <c r="Q654" s="248">
        <v>2013</v>
      </c>
      <c r="R654" s="248">
        <v>2014</v>
      </c>
      <c r="S654" s="248">
        <v>2015</v>
      </c>
      <c r="T654" s="248">
        <v>2016</v>
      </c>
      <c r="U654" s="248">
        <v>2017</v>
      </c>
      <c r="V654" s="248">
        <v>2018</v>
      </c>
      <c r="W654" s="248">
        <v>2019</v>
      </c>
      <c r="X654" s="248">
        <v>2020</v>
      </c>
    </row>
    <row r="655" spans="1:24" ht="12.75">
      <c r="A655" s="312" t="s">
        <v>419</v>
      </c>
      <c r="B655" s="388">
        <f>NPV(0.1,D655:Y655)</f>
        <v>415853.8103385836</v>
      </c>
      <c r="C655" s="388">
        <f>B655-B644</f>
        <v>-36892.454758272681</v>
      </c>
      <c r="D655" s="392">
        <v>29930.942263206842</v>
      </c>
      <c r="E655" s="393">
        <v>40230.643468424933</v>
      </c>
      <c r="F655" s="393">
        <v>40327.482751864693</v>
      </c>
      <c r="G655" s="393">
        <v>45947.035620619608</v>
      </c>
      <c r="H655" s="393">
        <v>50272.12361577899</v>
      </c>
      <c r="I655" s="393">
        <v>50760.913374491844</v>
      </c>
      <c r="J655" s="393">
        <v>51245.521030008465</v>
      </c>
      <c r="K655" s="393">
        <v>52396.201859076544</v>
      </c>
      <c r="L655" s="393">
        <v>52890.492853293115</v>
      </c>
      <c r="M655" s="393">
        <v>54090.522837059718</v>
      </c>
      <c r="N655" s="394">
        <v>54593.567025798628</v>
      </c>
      <c r="O655" s="252">
        <v>55844.689234740406</v>
      </c>
      <c r="P655" s="252">
        <v>56355.719525712208</v>
      </c>
      <c r="Q655" s="252">
        <v>56858.751957886001</v>
      </c>
      <c r="R655" s="252">
        <v>57352.846732472062</v>
      </c>
      <c r="S655" s="252">
        <v>57837.014860826152</v>
      </c>
      <c r="T655" s="252">
        <v>58310.216058877224</v>
      </c>
      <c r="U655" s="252">
        <v>58771.356559491593</v>
      </c>
      <c r="V655" s="252">
        <v>59219.286839744789</v>
      </c>
      <c r="W655" s="252">
        <v>59652.799259964595</v>
      </c>
      <c r="X655" s="252">
        <v>34202.254130970687</v>
      </c>
    </row>
    <row r="656" spans="1:24" ht="12.75">
      <c r="A656" s="313" t="s">
        <v>420</v>
      </c>
      <c r="B656" s="388">
        <f>NPV(0.1,D656:Y656)</f>
        <v>171174.13496734112</v>
      </c>
      <c r="C656" s="388">
        <f>B656-B645</f>
        <v>-36884.572333166492</v>
      </c>
      <c r="D656" s="392">
        <v>17170.713063951549</v>
      </c>
      <c r="E656" s="393">
        <v>18199.828104463755</v>
      </c>
      <c r="F656" s="393">
        <v>18363.041660315281</v>
      </c>
      <c r="G656" s="393">
        <v>19078.118843110442</v>
      </c>
      <c r="H656" s="393">
        <v>19541.543375892874</v>
      </c>
      <c r="I656" s="393">
        <v>19733.878503047275</v>
      </c>
      <c r="J656" s="393">
        <v>19932.106310905107</v>
      </c>
      <c r="K656" s="393">
        <v>20136.566712490676</v>
      </c>
      <c r="L656" s="393">
        <v>20347.160926123808</v>
      </c>
      <c r="M656" s="393">
        <v>20564.072966165942</v>
      </c>
      <c r="N656" s="394">
        <v>20787.492367409333</v>
      </c>
      <c r="O656" s="252">
        <v>21017.61435069003</v>
      </c>
      <c r="P656" s="252">
        <v>21254.639993469144</v>
      </c>
      <c r="Q656" s="252">
        <v>21498.776405531633</v>
      </c>
      <c r="R656" s="252">
        <v>21750.236909956002</v>
      </c>
      <c r="S656" s="252">
        <v>22009.241229513093</v>
      </c>
      <c r="T656" s="252">
        <v>22276.015678656902</v>
      </c>
      <c r="U656" s="252">
        <v>22550.793361275024</v>
      </c>
      <c r="V656" s="252">
        <v>22833.81437437169</v>
      </c>
      <c r="W656" s="252">
        <v>23125.326017861255</v>
      </c>
      <c r="X656" s="252">
        <v>20808.883264497494</v>
      </c>
    </row>
    <row r="657" spans="1:24" ht="12.75">
      <c r="A657" s="313" t="s">
        <v>35</v>
      </c>
      <c r="B657" s="388">
        <f>NPV(0.1,D657:Y657)</f>
        <v>85578.448110968573</v>
      </c>
      <c r="C657" s="388">
        <f>B657-B646</f>
        <v>1026.1623518211272</v>
      </c>
      <c r="D657" s="392">
        <v>-239.31476393246118</v>
      </c>
      <c r="E657" s="393">
        <v>4213.6388643953014</v>
      </c>
      <c r="F657" s="393">
        <v>4382.0335162872998</v>
      </c>
      <c r="G657" s="393">
        <v>7639.9755231642948</v>
      </c>
      <c r="H657" s="393">
        <v>10356.237128966233</v>
      </c>
      <c r="I657" s="393">
        <v>10908.4005731867</v>
      </c>
      <c r="J657" s="393">
        <v>11417.712534226739</v>
      </c>
      <c r="K657" s="393">
        <v>12267.76879105539</v>
      </c>
      <c r="L657" s="393">
        <v>12717.773601215617</v>
      </c>
      <c r="M657" s="393">
        <v>13766.110829770434</v>
      </c>
      <c r="N657" s="394">
        <v>14511.891622243766</v>
      </c>
      <c r="O657" s="252">
        <v>15265.334023804149</v>
      </c>
      <c r="P657" s="252">
        <v>15601.951357848407</v>
      </c>
      <c r="Q657" s="252">
        <v>15929.445653719733</v>
      </c>
      <c r="R657" s="252">
        <v>16247.120622200779</v>
      </c>
      <c r="S657" s="252">
        <v>16554.246407455503</v>
      </c>
      <c r="T657" s="252">
        <v>16850.058199692336</v>
      </c>
      <c r="U657" s="252">
        <v>17304.919987749672</v>
      </c>
      <c r="V657" s="252">
        <v>17815.293562088704</v>
      </c>
      <c r="W657" s="252">
        <v>18414.53342558405</v>
      </c>
      <c r="X657" s="252">
        <v>5027.4372735528623</v>
      </c>
    </row>
    <row r="658" spans="1:24" ht="12.75">
      <c r="A658" s="313" t="s">
        <v>32</v>
      </c>
      <c r="B658" s="388">
        <f>NPV(0.1,D658:Y658)</f>
        <v>93285.394520977541</v>
      </c>
      <c r="C658" s="388">
        <f>B658-B647</f>
        <v>1172.1063907569041</v>
      </c>
      <c r="D658" s="395">
        <v>-2153.8580309635172</v>
      </c>
      <c r="E658" s="396">
        <v>7368.096223148691</v>
      </c>
      <c r="F658" s="396">
        <v>5701.1979274092755</v>
      </c>
      <c r="G658" s="396">
        <v>9214.844347637154</v>
      </c>
      <c r="H658" s="396">
        <v>16247.693609039894</v>
      </c>
      <c r="I658" s="396">
        <v>13121.021248630823</v>
      </c>
      <c r="J658" s="396">
        <v>12546.666687832865</v>
      </c>
      <c r="K658" s="396">
        <v>13403.626001323775</v>
      </c>
      <c r="L658" s="396">
        <v>9948.2037623217366</v>
      </c>
      <c r="M658" s="396">
        <v>8352.4477326388205</v>
      </c>
      <c r="N658" s="397">
        <v>18837.635449699887</v>
      </c>
      <c r="O658" s="252">
        <v>18896.246589272538</v>
      </c>
      <c r="P658" s="252">
        <v>19225.960866654532</v>
      </c>
      <c r="Q658" s="252">
        <v>19560.358219188121</v>
      </c>
      <c r="R658" s="252">
        <v>19871.130131006903</v>
      </c>
      <c r="S658" s="252">
        <v>18141.854200894188</v>
      </c>
      <c r="T658" s="252">
        <v>12892.592684513587</v>
      </c>
      <c r="U658" s="252">
        <v>11943.98583527092</v>
      </c>
      <c r="V658" s="252">
        <v>10349.156453659954</v>
      </c>
      <c r="W658" s="252">
        <v>9544.9276798552983</v>
      </c>
      <c r="X658" s="252">
        <v>8087.3149448741124</v>
      </c>
    </row>
    <row r="661" spans="1:24">
      <c r="A661" s="1071" t="s">
        <v>687</v>
      </c>
    </row>
    <row r="662" spans="1:24">
      <c r="A662" s="333">
        <v>36465</v>
      </c>
    </row>
    <row r="663" spans="1:24" ht="12.75">
      <c r="A663" s="308" t="s">
        <v>416</v>
      </c>
      <c r="B663" s="309">
        <v>39167.914803301326</v>
      </c>
      <c r="C663" s="247"/>
      <c r="D663" s="247"/>
      <c r="E663" s="247"/>
      <c r="F663" s="247"/>
      <c r="G663" s="247"/>
      <c r="H663" s="247"/>
      <c r="I663" s="247"/>
      <c r="J663" s="247"/>
      <c r="K663" s="247"/>
      <c r="L663" s="247"/>
      <c r="M663" s="247"/>
      <c r="N663" s="247"/>
      <c r="O663" s="247"/>
      <c r="P663" s="247"/>
      <c r="Q663" s="247"/>
      <c r="R663" s="247"/>
      <c r="S663" s="247"/>
      <c r="T663" s="247"/>
      <c r="U663" s="247"/>
      <c r="V663" s="247"/>
      <c r="W663" s="247"/>
      <c r="X663" s="247"/>
    </row>
    <row r="664" spans="1:24" ht="12.75">
      <c r="A664" s="310" t="s">
        <v>417</v>
      </c>
      <c r="B664" s="311">
        <v>72944.447215062333</v>
      </c>
      <c r="C664" s="247"/>
      <c r="D664" s="247"/>
      <c r="E664" s="247"/>
      <c r="F664" s="247"/>
      <c r="G664" s="247"/>
      <c r="H664" s="247"/>
      <c r="I664" s="247"/>
      <c r="J664" s="247"/>
      <c r="K664" s="247"/>
      <c r="L664" s="247"/>
      <c r="M664" s="247"/>
      <c r="N664" s="247"/>
      <c r="O664" s="247"/>
      <c r="P664" s="247"/>
      <c r="Q664" s="247"/>
      <c r="R664" s="247"/>
      <c r="S664" s="247"/>
      <c r="T664" s="247"/>
      <c r="U664" s="247"/>
      <c r="V664" s="247"/>
      <c r="W664" s="247"/>
      <c r="X664" s="247"/>
    </row>
    <row r="665" spans="1:24" ht="12.75">
      <c r="A665" s="312" t="s">
        <v>418</v>
      </c>
      <c r="B665" s="387" t="s">
        <v>469</v>
      </c>
      <c r="C665" s="387" t="s">
        <v>470</v>
      </c>
      <c r="D665" s="389">
        <v>2000</v>
      </c>
      <c r="E665" s="390">
        <v>2001</v>
      </c>
      <c r="F665" s="390">
        <v>2002</v>
      </c>
      <c r="G665" s="390">
        <v>2003</v>
      </c>
      <c r="H665" s="390">
        <v>2004</v>
      </c>
      <c r="I665" s="390">
        <v>2005</v>
      </c>
      <c r="J665" s="390">
        <v>2006</v>
      </c>
      <c r="K665" s="390">
        <v>2007</v>
      </c>
      <c r="L665" s="390">
        <v>2008</v>
      </c>
      <c r="M665" s="390">
        <v>2009</v>
      </c>
      <c r="N665" s="391">
        <v>2010</v>
      </c>
      <c r="O665" s="248">
        <v>2011</v>
      </c>
      <c r="P665" s="248">
        <v>2012</v>
      </c>
      <c r="Q665" s="248">
        <v>2013</v>
      </c>
      <c r="R665" s="248">
        <v>2014</v>
      </c>
      <c r="S665" s="248">
        <v>2015</v>
      </c>
      <c r="T665" s="248">
        <v>2016</v>
      </c>
      <c r="U665" s="248">
        <v>2017</v>
      </c>
      <c r="V665" s="248">
        <v>2018</v>
      </c>
      <c r="W665" s="248">
        <v>2019</v>
      </c>
      <c r="X665" s="248">
        <v>2020</v>
      </c>
    </row>
    <row r="666" spans="1:24" ht="12.75">
      <c r="A666" s="312" t="s">
        <v>419</v>
      </c>
      <c r="B666" s="388">
        <f>NPV(0.1,D666:Y666)</f>
        <v>415853.84503079456</v>
      </c>
      <c r="C666" s="388">
        <f>B666-B655</f>
        <v>3.4692210960201919E-2</v>
      </c>
      <c r="D666" s="392">
        <v>29930.946284540038</v>
      </c>
      <c r="E666" s="393">
        <v>40230.64747850813</v>
      </c>
      <c r="F666" s="393">
        <v>40327.486761947897</v>
      </c>
      <c r="G666" s="393">
        <v>45947.039630702806</v>
      </c>
      <c r="H666" s="393">
        <v>50272.127625862195</v>
      </c>
      <c r="I666" s="393">
        <v>50760.917384575048</v>
      </c>
      <c r="J666" s="393">
        <v>51245.52504009167</v>
      </c>
      <c r="K666" s="393">
        <v>52396.205869159741</v>
      </c>
      <c r="L666" s="393">
        <v>52890.496863376313</v>
      </c>
      <c r="M666" s="393">
        <v>54090.526847142923</v>
      </c>
      <c r="N666" s="394">
        <v>54593.571035881825</v>
      </c>
      <c r="O666" s="252">
        <v>55844.693244823604</v>
      </c>
      <c r="P666" s="252">
        <v>56355.723535795405</v>
      </c>
      <c r="Q666" s="252">
        <v>56858.755967969206</v>
      </c>
      <c r="R666" s="252">
        <v>57352.85074255526</v>
      </c>
      <c r="S666" s="252">
        <v>57837.018870909349</v>
      </c>
      <c r="T666" s="252">
        <v>58310.220068960421</v>
      </c>
      <c r="U666" s="252">
        <v>58771.36056957479</v>
      </c>
      <c r="V666" s="252">
        <v>59219.290849827987</v>
      </c>
      <c r="W666" s="252">
        <v>59652.803270047792</v>
      </c>
      <c r="X666" s="252">
        <v>34202.258141053891</v>
      </c>
    </row>
    <row r="667" spans="1:24" ht="12.75">
      <c r="A667" s="313" t="s">
        <v>420</v>
      </c>
      <c r="B667" s="388">
        <f>NPV(0.1,D667:Y667)</f>
        <v>171193.5671586759</v>
      </c>
      <c r="C667" s="388">
        <f>B667-B656</f>
        <v>19.432191334781237</v>
      </c>
      <c r="D667" s="392">
        <v>17172.959909284749</v>
      </c>
      <c r="E667" s="393">
        <v>18202.074938546953</v>
      </c>
      <c r="F667" s="393">
        <v>18365.288494398483</v>
      </c>
      <c r="G667" s="393">
        <v>19080.365677193644</v>
      </c>
      <c r="H667" s="393">
        <v>19543.790209976076</v>
      </c>
      <c r="I667" s="393">
        <v>19736.125337130474</v>
      </c>
      <c r="J667" s="393">
        <v>19934.353144988308</v>
      </c>
      <c r="K667" s="393">
        <v>20138.813546573874</v>
      </c>
      <c r="L667" s="393">
        <v>20349.40776020701</v>
      </c>
      <c r="M667" s="393">
        <v>20566.319800249144</v>
      </c>
      <c r="N667" s="394">
        <v>20789.739201492535</v>
      </c>
      <c r="O667" s="252">
        <v>21019.861184773228</v>
      </c>
      <c r="P667" s="252">
        <v>21256.886827552342</v>
      </c>
      <c r="Q667" s="252">
        <v>21501.023239614831</v>
      </c>
      <c r="R667" s="252">
        <v>21752.4837440392</v>
      </c>
      <c r="S667" s="252">
        <v>22011.488063596295</v>
      </c>
      <c r="T667" s="252">
        <v>22278.262512740101</v>
      </c>
      <c r="U667" s="252">
        <v>22553.040195358222</v>
      </c>
      <c r="V667" s="252">
        <v>22836.061208454888</v>
      </c>
      <c r="W667" s="252">
        <v>23127.572851944453</v>
      </c>
      <c r="X667" s="252">
        <v>20811.130098580696</v>
      </c>
    </row>
    <row r="668" spans="1:24" ht="12.75">
      <c r="A668" s="313" t="s">
        <v>35</v>
      </c>
      <c r="B668" s="388">
        <f>NPV(0.1,D668:Y668)</f>
        <v>85566.913318884501</v>
      </c>
      <c r="C668" s="388">
        <f>B668-B657</f>
        <v>-11.534792084072251</v>
      </c>
      <c r="D668" s="392">
        <v>-240.64646546084469</v>
      </c>
      <c r="E668" s="393">
        <v>4212.3102886173883</v>
      </c>
      <c r="F668" s="393">
        <v>4380.7043389161099</v>
      </c>
      <c r="G668" s="393">
        <v>7638.6454902558889</v>
      </c>
      <c r="H668" s="393">
        <v>10354.90598657669</v>
      </c>
      <c r="I668" s="393">
        <v>10907.068725336227</v>
      </c>
      <c r="J668" s="393">
        <v>11416.37998091533</v>
      </c>
      <c r="K668" s="393">
        <v>12266.435433496508</v>
      </c>
      <c r="L668" s="393">
        <v>12716.439439409261</v>
      </c>
      <c r="M668" s="393">
        <v>13764.775355828753</v>
      </c>
      <c r="N668" s="394">
        <v>14510.55448343629</v>
      </c>
      <c r="O668" s="252">
        <v>15263.996489850524</v>
      </c>
      <c r="P668" s="252">
        <v>15600.613329962098</v>
      </c>
      <c r="Q668" s="252">
        <v>15928.107131900741</v>
      </c>
      <c r="R668" s="252">
        <v>16245.7816064491</v>
      </c>
      <c r="S668" s="252">
        <v>16552.906897771136</v>
      </c>
      <c r="T668" s="252">
        <v>16848.71819607529</v>
      </c>
      <c r="U668" s="252">
        <v>17303.578996267257</v>
      </c>
      <c r="V668" s="252">
        <v>17813.951385167846</v>
      </c>
      <c r="W668" s="252">
        <v>18413.189766865136</v>
      </c>
      <c r="X668" s="252">
        <v>5026.0919354628259</v>
      </c>
    </row>
    <row r="669" spans="1:24" ht="12.75">
      <c r="A669" s="313" t="s">
        <v>32</v>
      </c>
      <c r="B669" s="388">
        <f>NPV(0.1,D669:Y669)</f>
        <v>93275.264590460516</v>
      </c>
      <c r="C669" s="388">
        <f>B669-B658</f>
        <v>-10.129930517025059</v>
      </c>
      <c r="D669" s="395">
        <v>-2153.8419505135207</v>
      </c>
      <c r="E669" s="396">
        <v>7365.8684708486926</v>
      </c>
      <c r="F669" s="396">
        <v>5698.9747913592819</v>
      </c>
      <c r="G669" s="396">
        <v>9212.6254020246561</v>
      </c>
      <c r="H669" s="396">
        <v>16249.914687845709</v>
      </c>
      <c r="I669" s="396">
        <v>13119.683182236602</v>
      </c>
      <c r="J669" s="396">
        <v>12545.330606958956</v>
      </c>
      <c r="K669" s="396">
        <v>13402.289096021148</v>
      </c>
      <c r="L669" s="396">
        <v>9946.8773229528852</v>
      </c>
      <c r="M669" s="396">
        <v>8351.1276109533919</v>
      </c>
      <c r="N669" s="397">
        <v>18836.285558329913</v>
      </c>
      <c r="O669" s="252">
        <v>18894.898307575168</v>
      </c>
      <c r="P669" s="252">
        <v>19224.612111205723</v>
      </c>
      <c r="Q669" s="252">
        <v>19559.008949625382</v>
      </c>
      <c r="R669" s="252">
        <v>19869.780387692728</v>
      </c>
      <c r="S669" s="252">
        <v>18140.509917116076</v>
      </c>
      <c r="T669" s="252">
        <v>12891.263985271544</v>
      </c>
      <c r="U669" s="252">
        <v>11942.660198163507</v>
      </c>
      <c r="V669" s="252">
        <v>10347.835706114098</v>
      </c>
      <c r="W669" s="252">
        <v>9543.6095005113893</v>
      </c>
      <c r="X669" s="252">
        <v>8085.960661159078</v>
      </c>
    </row>
    <row r="672" spans="1:24">
      <c r="A672" s="1071" t="s">
        <v>688</v>
      </c>
    </row>
    <row r="673" spans="1:24">
      <c r="A673" s="333">
        <v>36465</v>
      </c>
    </row>
    <row r="674" spans="1:24" ht="12.75">
      <c r="A674" s="308" t="s">
        <v>416</v>
      </c>
      <c r="B674" s="309">
        <v>39140.822457010639</v>
      </c>
      <c r="C674" s="247"/>
      <c r="D674" s="247"/>
      <c r="E674" s="247"/>
      <c r="F674" s="247"/>
      <c r="G674" s="247"/>
      <c r="H674" s="247"/>
      <c r="I674" s="247"/>
      <c r="J674" s="247"/>
      <c r="K674" s="247"/>
      <c r="L674" s="247"/>
      <c r="M674" s="247"/>
      <c r="N674" s="247"/>
      <c r="O674" s="247"/>
      <c r="P674" s="247"/>
      <c r="Q674" s="247"/>
      <c r="R674" s="247"/>
      <c r="S674" s="247"/>
      <c r="T674" s="247"/>
      <c r="U674" s="247"/>
      <c r="V674" s="247"/>
      <c r="W674" s="247"/>
      <c r="X674" s="247"/>
    </row>
    <row r="675" spans="1:24" ht="12.75">
      <c r="A675" s="310" t="s">
        <v>417</v>
      </c>
      <c r="B675" s="311">
        <v>72903.816409529318</v>
      </c>
      <c r="C675" s="247"/>
      <c r="D675" s="247"/>
      <c r="E675" s="247"/>
      <c r="F675" s="247"/>
      <c r="G675" s="247"/>
      <c r="H675" s="247"/>
      <c r="I675" s="247"/>
      <c r="J675" s="247"/>
      <c r="K675" s="247"/>
      <c r="L675" s="247"/>
      <c r="M675" s="247"/>
      <c r="N675" s="247"/>
      <c r="O675" s="247"/>
      <c r="P675" s="247"/>
      <c r="Q675" s="247"/>
      <c r="R675" s="247"/>
      <c r="S675" s="247"/>
      <c r="T675" s="247"/>
      <c r="U675" s="247"/>
      <c r="V675" s="247"/>
      <c r="W675" s="247"/>
      <c r="X675" s="247"/>
    </row>
    <row r="676" spans="1:24" ht="12.75">
      <c r="A676" s="312" t="s">
        <v>418</v>
      </c>
      <c r="B676" s="387" t="s">
        <v>469</v>
      </c>
      <c r="C676" s="387" t="s">
        <v>470</v>
      </c>
      <c r="D676" s="389">
        <v>2000</v>
      </c>
      <c r="E676" s="390">
        <v>2001</v>
      </c>
      <c r="F676" s="390">
        <v>2002</v>
      </c>
      <c r="G676" s="390">
        <v>2003</v>
      </c>
      <c r="H676" s="390">
        <v>2004</v>
      </c>
      <c r="I676" s="390">
        <v>2005</v>
      </c>
      <c r="J676" s="390">
        <v>2006</v>
      </c>
      <c r="K676" s="390">
        <v>2007</v>
      </c>
      <c r="L676" s="390">
        <v>2008</v>
      </c>
      <c r="M676" s="390">
        <v>2009</v>
      </c>
      <c r="N676" s="391">
        <v>2010</v>
      </c>
      <c r="O676" s="248">
        <v>2011</v>
      </c>
      <c r="P676" s="248">
        <v>2012</v>
      </c>
      <c r="Q676" s="248">
        <v>2013</v>
      </c>
      <c r="R676" s="248">
        <v>2014</v>
      </c>
      <c r="S676" s="248">
        <v>2015</v>
      </c>
      <c r="T676" s="248">
        <v>2016</v>
      </c>
      <c r="U676" s="248">
        <v>2017</v>
      </c>
      <c r="V676" s="248">
        <v>2018</v>
      </c>
      <c r="W676" s="248">
        <v>2019</v>
      </c>
      <c r="X676" s="248">
        <v>2020</v>
      </c>
    </row>
    <row r="677" spans="1:24" ht="12.75">
      <c r="A677" s="312" t="s">
        <v>419</v>
      </c>
      <c r="B677" s="388">
        <f>NPV(0.1,D677:Y677)</f>
        <v>415853.86597828561</v>
      </c>
      <c r="C677" s="388">
        <f>B677-B666</f>
        <v>2.0947491051629186E-2</v>
      </c>
      <c r="D677" s="392">
        <v>29930.94776211054</v>
      </c>
      <c r="E677" s="393">
        <v>40230.650011486126</v>
      </c>
      <c r="F677" s="393">
        <v>40327.489294925894</v>
      </c>
      <c r="G677" s="393">
        <v>45947.042163680802</v>
      </c>
      <c r="H677" s="393">
        <v>50272.130158840191</v>
      </c>
      <c r="I677" s="393">
        <v>50760.919917553045</v>
      </c>
      <c r="J677" s="393">
        <v>51245.527573069667</v>
      </c>
      <c r="K677" s="393">
        <v>52396.208402137745</v>
      </c>
      <c r="L677" s="393">
        <v>52890.499396354317</v>
      </c>
      <c r="M677" s="393">
        <v>54090.529380120919</v>
      </c>
      <c r="N677" s="394">
        <v>54593.573568859829</v>
      </c>
      <c r="O677" s="252">
        <v>55844.6957778016</v>
      </c>
      <c r="P677" s="252">
        <v>56355.726068773401</v>
      </c>
      <c r="Q677" s="252">
        <v>56858.758500947202</v>
      </c>
      <c r="R677" s="252">
        <v>57352.853275533264</v>
      </c>
      <c r="S677" s="252">
        <v>57837.021403887353</v>
      </c>
      <c r="T677" s="252">
        <v>58310.222601938425</v>
      </c>
      <c r="U677" s="252">
        <v>58771.363102552794</v>
      </c>
      <c r="V677" s="252">
        <v>59219.29338280599</v>
      </c>
      <c r="W677" s="252">
        <v>59652.805803025796</v>
      </c>
      <c r="X677" s="252">
        <v>34202.260674031888</v>
      </c>
    </row>
    <row r="678" spans="1:24" ht="12.75">
      <c r="A678" s="313" t="s">
        <v>420</v>
      </c>
      <c r="B678" s="388">
        <f>NPV(0.1,D678:Y678)</f>
        <v>171193.58810616686</v>
      </c>
      <c r="C678" s="388">
        <f>B678-B667</f>
        <v>2.0947490964317694E-2</v>
      </c>
      <c r="D678" s="392">
        <v>17172.961386855248</v>
      </c>
      <c r="E678" s="393">
        <v>18202.077471524954</v>
      </c>
      <c r="F678" s="393">
        <v>18365.291027376483</v>
      </c>
      <c r="G678" s="393">
        <v>19080.368210171644</v>
      </c>
      <c r="H678" s="393">
        <v>19543.792742954072</v>
      </c>
      <c r="I678" s="393">
        <v>19736.127870108474</v>
      </c>
      <c r="J678" s="393">
        <v>19934.355677966309</v>
      </c>
      <c r="K678" s="393">
        <v>20138.816079551878</v>
      </c>
      <c r="L678" s="393">
        <v>20349.41029318501</v>
      </c>
      <c r="M678" s="393">
        <v>20566.322333227145</v>
      </c>
      <c r="N678" s="394">
        <v>20789.741734470535</v>
      </c>
      <c r="O678" s="252">
        <v>21019.863717751228</v>
      </c>
      <c r="P678" s="252">
        <v>21256.889360530342</v>
      </c>
      <c r="Q678" s="252">
        <v>21501.025772592835</v>
      </c>
      <c r="R678" s="252">
        <v>21752.486277017197</v>
      </c>
      <c r="S678" s="252">
        <v>22011.490596574295</v>
      </c>
      <c r="T678" s="252">
        <v>22278.265045718101</v>
      </c>
      <c r="U678" s="252">
        <v>22553.042728336222</v>
      </c>
      <c r="V678" s="252">
        <v>22836.063741432892</v>
      </c>
      <c r="W678" s="252">
        <v>23127.575384922457</v>
      </c>
      <c r="X678" s="252">
        <v>20811.132631558696</v>
      </c>
    </row>
    <row r="679" spans="1:24" ht="12.75">
      <c r="A679" s="313" t="s">
        <v>35</v>
      </c>
      <c r="B679" s="388">
        <f>NPV(0.1,D679:Y679)</f>
        <v>85550.215013203808</v>
      </c>
      <c r="C679" s="388">
        <f>B679-B668</f>
        <v>-16.698305680693011</v>
      </c>
      <c r="D679" s="392">
        <v>-242.76499071981243</v>
      </c>
      <c r="E679" s="393">
        <v>4209.8985242039416</v>
      </c>
      <c r="F679" s="393">
        <v>4378.3490123747506</v>
      </c>
      <c r="G679" s="393">
        <v>7636.3704250824358</v>
      </c>
      <c r="H679" s="393">
        <v>10352.735006266965</v>
      </c>
      <c r="I679" s="393">
        <v>10904.963927138482</v>
      </c>
      <c r="J679" s="393">
        <v>11414.341364829565</v>
      </c>
      <c r="K679" s="393">
        <v>12264.472267082894</v>
      </c>
      <c r="L679" s="393">
        <v>12714.551722667802</v>
      </c>
      <c r="M679" s="393">
        <v>13763.010735751079</v>
      </c>
      <c r="N679" s="394">
        <v>14508.946051078396</v>
      </c>
      <c r="O679" s="252">
        <v>15262.425127733308</v>
      </c>
      <c r="P679" s="252">
        <v>15599.088305645737</v>
      </c>
      <c r="Q679" s="252">
        <v>15926.628445385231</v>
      </c>
      <c r="R679" s="252">
        <v>16244.349257734448</v>
      </c>
      <c r="S679" s="252">
        <v>16551.520886857332</v>
      </c>
      <c r="T679" s="252">
        <v>16847.378522962339</v>
      </c>
      <c r="U679" s="252">
        <v>17302.33199875601</v>
      </c>
      <c r="V679" s="252">
        <v>17812.815598378642</v>
      </c>
      <c r="W679" s="252">
        <v>18412.192993478489</v>
      </c>
      <c r="X679" s="252">
        <v>5025.252710599073</v>
      </c>
    </row>
    <row r="680" spans="1:24" ht="12.75">
      <c r="A680" s="313" t="s">
        <v>32</v>
      </c>
      <c r="B680" s="388">
        <f>NPV(0.1,D680:Y680)</f>
        <v>93259.047866373396</v>
      </c>
      <c r="C680" s="388">
        <f>B680-B669</f>
        <v>-16.216724087120383</v>
      </c>
      <c r="D680" s="395">
        <v>-2157.9806254840187</v>
      </c>
      <c r="E680" s="396">
        <v>7361.8244307506866</v>
      </c>
      <c r="F680" s="396">
        <v>5694.4976823837806</v>
      </c>
      <c r="G680" s="396">
        <v>9207.7551713455268</v>
      </c>
      <c r="H680" s="396">
        <v>16258.446116025376</v>
      </c>
      <c r="I680" s="396">
        <v>13118.161770502218</v>
      </c>
      <c r="J680" s="396">
        <v>12543.622925621565</v>
      </c>
      <c r="K680" s="396">
        <v>13400.6587576397</v>
      </c>
      <c r="L680" s="396">
        <v>9944.2651334597995</v>
      </c>
      <c r="M680" s="396">
        <v>8347.9227343078855</v>
      </c>
      <c r="N680" s="397">
        <v>18835.873494870393</v>
      </c>
      <c r="O680" s="252">
        <v>18894.335234290105</v>
      </c>
      <c r="P680" s="252">
        <v>19224.093482437733</v>
      </c>
      <c r="Q680" s="252">
        <v>19558.538551942031</v>
      </c>
      <c r="R680" s="252">
        <v>19869.354434526449</v>
      </c>
      <c r="S680" s="252">
        <v>18139.571783033331</v>
      </c>
      <c r="T680" s="252">
        <v>12888.863803522341</v>
      </c>
      <c r="U680" s="252">
        <v>11939.972745316014</v>
      </c>
      <c r="V680" s="252">
        <v>10344.689543938646</v>
      </c>
      <c r="W680" s="252">
        <v>9540.2224050384866</v>
      </c>
      <c r="X680" s="252">
        <v>8085.9606611590725</v>
      </c>
    </row>
    <row r="683" spans="1:24">
      <c r="A683" s="1071" t="s">
        <v>689</v>
      </c>
    </row>
    <row r="684" spans="1:24">
      <c r="A684" s="333">
        <v>36481</v>
      </c>
    </row>
    <row r="685" spans="1:24" ht="12.75">
      <c r="A685" s="308" t="s">
        <v>416</v>
      </c>
      <c r="B685" s="309">
        <v>39140.822457010639</v>
      </c>
      <c r="C685" s="247"/>
      <c r="D685" s="247"/>
      <c r="E685" s="247"/>
      <c r="F685" s="247"/>
      <c r="G685" s="247"/>
      <c r="H685" s="247"/>
      <c r="I685" s="247"/>
      <c r="J685" s="247"/>
      <c r="K685" s="247"/>
      <c r="L685" s="247"/>
      <c r="M685" s="247"/>
      <c r="N685" s="247"/>
      <c r="O685" s="247"/>
      <c r="P685" s="247"/>
      <c r="Q685" s="247"/>
      <c r="R685" s="247"/>
      <c r="S685" s="247"/>
      <c r="T685" s="247"/>
      <c r="U685" s="247"/>
      <c r="V685" s="247"/>
      <c r="W685" s="247"/>
      <c r="X685" s="247"/>
    </row>
    <row r="686" spans="1:24" ht="12.75">
      <c r="A686" s="310" t="s">
        <v>417</v>
      </c>
      <c r="B686" s="311">
        <v>72903.816409529318</v>
      </c>
      <c r="C686" s="247"/>
      <c r="D686" s="247"/>
      <c r="E686" s="247"/>
      <c r="F686" s="247"/>
      <c r="G686" s="247"/>
      <c r="H686" s="247"/>
      <c r="I686" s="247"/>
      <c r="J686" s="247"/>
      <c r="K686" s="247"/>
      <c r="L686" s="247"/>
      <c r="M686" s="247"/>
      <c r="N686" s="247"/>
      <c r="O686" s="247"/>
      <c r="P686" s="247"/>
      <c r="Q686" s="247"/>
      <c r="R686" s="247"/>
      <c r="S686" s="247"/>
      <c r="T686" s="247"/>
      <c r="U686" s="247"/>
      <c r="V686" s="247"/>
      <c r="W686" s="247"/>
      <c r="X686" s="247"/>
    </row>
    <row r="687" spans="1:24" ht="12.75">
      <c r="A687" s="312" t="s">
        <v>418</v>
      </c>
      <c r="B687" s="387" t="s">
        <v>469</v>
      </c>
      <c r="C687" s="387" t="s">
        <v>470</v>
      </c>
      <c r="D687" s="389">
        <v>2000</v>
      </c>
      <c r="E687" s="390">
        <v>2001</v>
      </c>
      <c r="F687" s="390">
        <v>2002</v>
      </c>
      <c r="G687" s="390">
        <v>2003</v>
      </c>
      <c r="H687" s="390">
        <v>2004</v>
      </c>
      <c r="I687" s="390">
        <v>2005</v>
      </c>
      <c r="J687" s="390">
        <v>2006</v>
      </c>
      <c r="K687" s="390">
        <v>2007</v>
      </c>
      <c r="L687" s="390">
        <v>2008</v>
      </c>
      <c r="M687" s="390">
        <v>2009</v>
      </c>
      <c r="N687" s="391">
        <v>2010</v>
      </c>
      <c r="O687" s="248">
        <v>2011</v>
      </c>
      <c r="P687" s="248">
        <v>2012</v>
      </c>
      <c r="Q687" s="248">
        <v>2013</v>
      </c>
      <c r="R687" s="248">
        <v>2014</v>
      </c>
      <c r="S687" s="248">
        <v>2015</v>
      </c>
      <c r="T687" s="248">
        <v>2016</v>
      </c>
      <c r="U687" s="248">
        <v>2017</v>
      </c>
      <c r="V687" s="248">
        <v>2018</v>
      </c>
      <c r="W687" s="248">
        <v>2019</v>
      </c>
      <c r="X687" s="248">
        <v>2020</v>
      </c>
    </row>
    <row r="688" spans="1:24" ht="12.75">
      <c r="A688" s="312" t="s">
        <v>419</v>
      </c>
      <c r="B688" s="388">
        <f>NPV(0.1,D688:Y688)</f>
        <v>415853.86597828561</v>
      </c>
      <c r="C688" s="388">
        <f>B688-B677</f>
        <v>0</v>
      </c>
      <c r="D688" s="392">
        <v>29930.94776211054</v>
      </c>
      <c r="E688" s="393">
        <v>40230.650011486126</v>
      </c>
      <c r="F688" s="393">
        <v>40327.489294925894</v>
      </c>
      <c r="G688" s="393">
        <v>45947.042163680802</v>
      </c>
      <c r="H688" s="393">
        <v>50272.130158840191</v>
      </c>
      <c r="I688" s="393">
        <v>50760.919917553045</v>
      </c>
      <c r="J688" s="393">
        <v>51245.527573069667</v>
      </c>
      <c r="K688" s="393">
        <v>52396.208402137745</v>
      </c>
      <c r="L688" s="393">
        <v>52890.499396354317</v>
      </c>
      <c r="M688" s="393">
        <v>54090.529380120919</v>
      </c>
      <c r="N688" s="394">
        <v>54593.573568859829</v>
      </c>
      <c r="O688" s="252">
        <v>55844.6957778016</v>
      </c>
      <c r="P688" s="252">
        <v>56355.726068773401</v>
      </c>
      <c r="Q688" s="252">
        <v>56858.758500947202</v>
      </c>
      <c r="R688" s="252">
        <v>57352.853275533264</v>
      </c>
      <c r="S688" s="252">
        <v>57837.021403887353</v>
      </c>
      <c r="T688" s="252">
        <v>58310.222601938425</v>
      </c>
      <c r="U688" s="252">
        <v>58771.363102552794</v>
      </c>
      <c r="V688" s="252">
        <v>59219.29338280599</v>
      </c>
      <c r="W688" s="252">
        <v>59652.805803025796</v>
      </c>
      <c r="X688" s="252">
        <v>34202.260674031888</v>
      </c>
    </row>
    <row r="689" spans="1:24" ht="12.75">
      <c r="A689" s="313" t="s">
        <v>420</v>
      </c>
      <c r="B689" s="388">
        <f>NPV(0.1,D689:Y689)</f>
        <v>171193.58810616686</v>
      </c>
      <c r="C689" s="388">
        <f>B689-B678</f>
        <v>0</v>
      </c>
      <c r="D689" s="392">
        <v>17172.961386855248</v>
      </c>
      <c r="E689" s="393">
        <v>18202.077471524954</v>
      </c>
      <c r="F689" s="393">
        <v>18365.291027376483</v>
      </c>
      <c r="G689" s="393">
        <v>19080.368210171644</v>
      </c>
      <c r="H689" s="393">
        <v>19543.792742954072</v>
      </c>
      <c r="I689" s="393">
        <v>19736.127870108474</v>
      </c>
      <c r="J689" s="393">
        <v>19934.355677966309</v>
      </c>
      <c r="K689" s="393">
        <v>20138.816079551878</v>
      </c>
      <c r="L689" s="393">
        <v>20349.41029318501</v>
      </c>
      <c r="M689" s="393">
        <v>20566.322333227145</v>
      </c>
      <c r="N689" s="394">
        <v>20789.741734470535</v>
      </c>
      <c r="O689" s="252">
        <v>21019.863717751228</v>
      </c>
      <c r="P689" s="252">
        <v>21256.889360530342</v>
      </c>
      <c r="Q689" s="252">
        <v>21501.025772592835</v>
      </c>
      <c r="R689" s="252">
        <v>21752.486277017197</v>
      </c>
      <c r="S689" s="252">
        <v>22011.490596574295</v>
      </c>
      <c r="T689" s="252">
        <v>22278.265045718101</v>
      </c>
      <c r="U689" s="252">
        <v>22553.042728336222</v>
      </c>
      <c r="V689" s="252">
        <v>22836.063741432892</v>
      </c>
      <c r="W689" s="252">
        <v>23127.575384922457</v>
      </c>
      <c r="X689" s="252">
        <v>20811.132631558696</v>
      </c>
    </row>
    <row r="690" spans="1:24" ht="12.75">
      <c r="A690" s="313" t="s">
        <v>35</v>
      </c>
      <c r="B690" s="388">
        <f>NPV(0.1,D690:Y690)</f>
        <v>85550.215013203808</v>
      </c>
      <c r="C690" s="388">
        <f>B690-B679</f>
        <v>0</v>
      </c>
      <c r="D690" s="392">
        <v>-242.76499071981243</v>
      </c>
      <c r="E690" s="393">
        <v>4209.8985242039416</v>
      </c>
      <c r="F690" s="393">
        <v>4378.3490123747506</v>
      </c>
      <c r="G690" s="393">
        <v>7636.3704250824358</v>
      </c>
      <c r="H690" s="393">
        <v>10352.735006266965</v>
      </c>
      <c r="I690" s="393">
        <v>10904.963927138482</v>
      </c>
      <c r="J690" s="393">
        <v>11414.341364829565</v>
      </c>
      <c r="K690" s="393">
        <v>12264.472267082894</v>
      </c>
      <c r="L690" s="393">
        <v>12714.551722667802</v>
      </c>
      <c r="M690" s="393">
        <v>13763.010735751079</v>
      </c>
      <c r="N690" s="394">
        <v>14508.946051078396</v>
      </c>
      <c r="O690" s="252">
        <v>15262.425127733308</v>
      </c>
      <c r="P690" s="252">
        <v>15599.088305645737</v>
      </c>
      <c r="Q690" s="252">
        <v>15926.628445385231</v>
      </c>
      <c r="R690" s="252">
        <v>16244.349257734448</v>
      </c>
      <c r="S690" s="252">
        <v>16551.520886857332</v>
      </c>
      <c r="T690" s="252">
        <v>16847.378522962339</v>
      </c>
      <c r="U690" s="252">
        <v>17302.33199875601</v>
      </c>
      <c r="V690" s="252">
        <v>17812.815598378642</v>
      </c>
      <c r="W690" s="252">
        <v>18412.192993478489</v>
      </c>
      <c r="X690" s="252">
        <v>5025.252710599073</v>
      </c>
    </row>
    <row r="691" spans="1:24" ht="12.75">
      <c r="A691" s="313" t="s">
        <v>32</v>
      </c>
      <c r="B691" s="388">
        <f>NPV(0.1,D691:Y691)</f>
        <v>93259.047866373396</v>
      </c>
      <c r="C691" s="388">
        <f>B691-B680</f>
        <v>0</v>
      </c>
      <c r="D691" s="395">
        <v>-2157.9806254840187</v>
      </c>
      <c r="E691" s="396">
        <v>7361.8244307506866</v>
      </c>
      <c r="F691" s="396">
        <v>5694.4976823837806</v>
      </c>
      <c r="G691" s="396">
        <v>9207.7551713455268</v>
      </c>
      <c r="H691" s="396">
        <v>16258.446116025376</v>
      </c>
      <c r="I691" s="396">
        <v>13118.161770502218</v>
      </c>
      <c r="J691" s="396">
        <v>12543.622925621565</v>
      </c>
      <c r="K691" s="396">
        <v>13400.6587576397</v>
      </c>
      <c r="L691" s="396">
        <v>9944.2651334597995</v>
      </c>
      <c r="M691" s="396">
        <v>8347.9227343078855</v>
      </c>
      <c r="N691" s="397">
        <v>18835.873494870393</v>
      </c>
      <c r="O691" s="252">
        <v>18894.335234290105</v>
      </c>
      <c r="P691" s="252">
        <v>19224.093482437733</v>
      </c>
      <c r="Q691" s="252">
        <v>19558.538551942031</v>
      </c>
      <c r="R691" s="252">
        <v>19869.354434526449</v>
      </c>
      <c r="S691" s="252">
        <v>18139.571783033331</v>
      </c>
      <c r="T691" s="252">
        <v>12888.863803522341</v>
      </c>
      <c r="U691" s="252">
        <v>11939.972745316014</v>
      </c>
      <c r="V691" s="252">
        <v>10344.689543938646</v>
      </c>
      <c r="W691" s="252">
        <v>9540.2224050384866</v>
      </c>
      <c r="X691" s="252">
        <v>8085.9606611590725</v>
      </c>
    </row>
    <row r="694" spans="1:24">
      <c r="A694" s="1071" t="s">
        <v>691</v>
      </c>
    </row>
    <row r="695" spans="1:24">
      <c r="A695" s="333">
        <v>36494</v>
      </c>
    </row>
    <row r="696" spans="1:24" ht="12.75">
      <c r="A696" s="308" t="s">
        <v>416</v>
      </c>
      <c r="B696" s="309">
        <v>39354.005738788408</v>
      </c>
      <c r="C696" s="247"/>
      <c r="D696" s="247"/>
      <c r="E696" s="247"/>
      <c r="F696" s="247"/>
      <c r="G696" s="247"/>
      <c r="H696" s="247"/>
      <c r="I696" s="247"/>
      <c r="J696" s="247"/>
      <c r="K696" s="247"/>
      <c r="L696" s="247"/>
      <c r="M696" s="247"/>
      <c r="N696" s="247"/>
      <c r="O696" s="247"/>
      <c r="P696" s="247"/>
      <c r="Q696" s="247"/>
      <c r="R696" s="247"/>
      <c r="S696" s="247"/>
      <c r="T696" s="247"/>
      <c r="U696" s="247"/>
      <c r="V696" s="247"/>
      <c r="W696" s="247"/>
      <c r="X696" s="247"/>
    </row>
    <row r="697" spans="1:24" ht="12.75">
      <c r="A697" s="310" t="s">
        <v>417</v>
      </c>
      <c r="B697" s="311">
        <v>73219.924129709369</v>
      </c>
      <c r="C697" s="247"/>
      <c r="D697" s="247"/>
      <c r="E697" s="247"/>
      <c r="F697" s="247"/>
      <c r="G697" s="247"/>
      <c r="H697" s="247"/>
      <c r="I697" s="247"/>
      <c r="J697" s="247"/>
      <c r="K697" s="247"/>
      <c r="L697" s="247"/>
      <c r="M697" s="247"/>
      <c r="N697" s="247"/>
      <c r="O697" s="247"/>
      <c r="P697" s="247"/>
      <c r="Q697" s="247"/>
      <c r="R697" s="247"/>
      <c r="S697" s="247"/>
      <c r="T697" s="247"/>
      <c r="U697" s="247"/>
      <c r="V697" s="247"/>
      <c r="W697" s="247"/>
      <c r="X697" s="247"/>
    </row>
    <row r="698" spans="1:24" ht="12.75">
      <c r="A698" s="312" t="s">
        <v>418</v>
      </c>
      <c r="B698" s="387" t="s">
        <v>469</v>
      </c>
      <c r="C698" s="387" t="s">
        <v>470</v>
      </c>
      <c r="D698" s="389">
        <v>2000</v>
      </c>
      <c r="E698" s="390">
        <v>2001</v>
      </c>
      <c r="F698" s="390">
        <v>2002</v>
      </c>
      <c r="G698" s="390">
        <v>2003</v>
      </c>
      <c r="H698" s="390">
        <v>2004</v>
      </c>
      <c r="I698" s="390">
        <v>2005</v>
      </c>
      <c r="J698" s="390">
        <v>2006</v>
      </c>
      <c r="K698" s="390">
        <v>2007</v>
      </c>
      <c r="L698" s="390">
        <v>2008</v>
      </c>
      <c r="M698" s="390">
        <v>2009</v>
      </c>
      <c r="N698" s="391">
        <v>2010</v>
      </c>
      <c r="O698" s="248">
        <v>2011</v>
      </c>
      <c r="P698" s="248">
        <v>2012</v>
      </c>
      <c r="Q698" s="248">
        <v>2013</v>
      </c>
      <c r="R698" s="248">
        <v>2014</v>
      </c>
      <c r="S698" s="248">
        <v>2015</v>
      </c>
      <c r="T698" s="248">
        <v>2016</v>
      </c>
      <c r="U698" s="248">
        <v>2017</v>
      </c>
      <c r="V698" s="248">
        <v>2018</v>
      </c>
      <c r="W698" s="248">
        <v>2019</v>
      </c>
      <c r="X698" s="248">
        <v>2020</v>
      </c>
    </row>
    <row r="699" spans="1:24" ht="12.75">
      <c r="A699" s="312" t="s">
        <v>419</v>
      </c>
      <c r="B699" s="388">
        <f>NPV(0.1,D699:Y699)</f>
        <v>415853.75531511055</v>
      </c>
      <c r="C699" s="388">
        <f>B699-B688</f>
        <v>-0.11066317505901679</v>
      </c>
      <c r="D699" s="392">
        <v>29930.94303808704</v>
      </c>
      <c r="E699" s="393">
        <v>40230.636268067632</v>
      </c>
      <c r="F699" s="393">
        <v>40327.475551507392</v>
      </c>
      <c r="G699" s="393">
        <v>45947.028420262308</v>
      </c>
      <c r="H699" s="393">
        <v>50272.116415421689</v>
      </c>
      <c r="I699" s="393">
        <v>50760.906174134543</v>
      </c>
      <c r="J699" s="393">
        <v>51245.513829651165</v>
      </c>
      <c r="K699" s="393">
        <v>52396.194658719243</v>
      </c>
      <c r="L699" s="393">
        <v>52890.485652935815</v>
      </c>
      <c r="M699" s="393">
        <v>54090.515636702417</v>
      </c>
      <c r="N699" s="394">
        <v>54593.559825441327</v>
      </c>
      <c r="O699" s="252">
        <v>55844.682034383106</v>
      </c>
      <c r="P699" s="252">
        <v>56355.712325354907</v>
      </c>
      <c r="Q699" s="252">
        <v>56858.744757528701</v>
      </c>
      <c r="R699" s="252">
        <v>57352.839532114762</v>
      </c>
      <c r="S699" s="252">
        <v>57837.007660468851</v>
      </c>
      <c r="T699" s="252">
        <v>58310.208858519924</v>
      </c>
      <c r="U699" s="252">
        <v>58771.349359134292</v>
      </c>
      <c r="V699" s="252">
        <v>59219.279639387489</v>
      </c>
      <c r="W699" s="252">
        <v>59652.792059607295</v>
      </c>
      <c r="X699" s="252">
        <v>34202.246930613393</v>
      </c>
    </row>
    <row r="700" spans="1:24" ht="12.75">
      <c r="A700" s="313" t="s">
        <v>420</v>
      </c>
      <c r="B700" s="388">
        <f>NPV(0.1,D700:Y700)</f>
        <v>171231.45063798359</v>
      </c>
      <c r="C700" s="388">
        <f>B700-B689</f>
        <v>37.862531816732371</v>
      </c>
      <c r="D700" s="392">
        <v>17177.347290331749</v>
      </c>
      <c r="E700" s="393">
        <v>18206.454355606456</v>
      </c>
      <c r="F700" s="393">
        <v>18369.667911457982</v>
      </c>
      <c r="G700" s="393">
        <v>19084.745094253143</v>
      </c>
      <c r="H700" s="393">
        <v>19548.169627035575</v>
      </c>
      <c r="I700" s="393">
        <v>19740.504754189977</v>
      </c>
      <c r="J700" s="393">
        <v>19938.732562047811</v>
      </c>
      <c r="K700" s="393">
        <v>20143.192963633377</v>
      </c>
      <c r="L700" s="393">
        <v>20353.787177266513</v>
      </c>
      <c r="M700" s="393">
        <v>20570.699217308644</v>
      </c>
      <c r="N700" s="394">
        <v>20794.118618552035</v>
      </c>
      <c r="O700" s="252">
        <v>21024.240601832731</v>
      </c>
      <c r="P700" s="252">
        <v>21261.266244611845</v>
      </c>
      <c r="Q700" s="252">
        <v>21505.402656674334</v>
      </c>
      <c r="R700" s="252">
        <v>21756.863161098703</v>
      </c>
      <c r="S700" s="252">
        <v>22015.867480655794</v>
      </c>
      <c r="T700" s="252">
        <v>22282.641929799604</v>
      </c>
      <c r="U700" s="252">
        <v>22557.419612417725</v>
      </c>
      <c r="V700" s="252">
        <v>22840.440625514391</v>
      </c>
      <c r="W700" s="252">
        <v>23131.952269003956</v>
      </c>
      <c r="X700" s="252">
        <v>20815.509515640199</v>
      </c>
    </row>
    <row r="701" spans="1:24" ht="12.75">
      <c r="A701" s="313" t="s">
        <v>35</v>
      </c>
      <c r="B701" s="388">
        <f>NPV(0.1,D701:Y701)</f>
        <v>85669.987532119252</v>
      </c>
      <c r="C701" s="388">
        <f>B701-B690</f>
        <v>119.77251891544438</v>
      </c>
      <c r="D701" s="392">
        <v>-227.31150093627139</v>
      </c>
      <c r="E701" s="393">
        <v>4227.8580031562924</v>
      </c>
      <c r="F701" s="393">
        <v>4395.8261795552826</v>
      </c>
      <c r="G701" s="393">
        <v>7653.1616875480695</v>
      </c>
      <c r="H701" s="393">
        <v>10368.636771074605</v>
      </c>
      <c r="I701" s="393">
        <v>10920.300106984972</v>
      </c>
      <c r="J701" s="393">
        <v>11429.11195971491</v>
      </c>
      <c r="K701" s="393">
        <v>12278.598077469605</v>
      </c>
      <c r="L701" s="393">
        <v>12728.032748555872</v>
      </c>
      <c r="M701" s="393">
        <v>13775.439791254339</v>
      </c>
      <c r="N701" s="394">
        <v>14520.040343716279</v>
      </c>
      <c r="O701" s="252">
        <v>15273.202622221233</v>
      </c>
      <c r="P701" s="252">
        <v>15609.46980244621</v>
      </c>
      <c r="Q701" s="252">
        <v>15936.613944498256</v>
      </c>
      <c r="R701" s="252">
        <v>16253.938759160024</v>
      </c>
      <c r="S701" s="252">
        <v>16560.714390595465</v>
      </c>
      <c r="T701" s="252">
        <v>16856.176029013019</v>
      </c>
      <c r="U701" s="252">
        <v>17310.337509431796</v>
      </c>
      <c r="V701" s="252">
        <v>17819.870714604556</v>
      </c>
      <c r="W701" s="252">
        <v>18418.06011664206</v>
      </c>
      <c r="X701" s="252">
        <v>5029.7734416253224</v>
      </c>
    </row>
    <row r="702" spans="1:24" ht="12.75">
      <c r="A702" s="313" t="s">
        <v>32</v>
      </c>
      <c r="B702" s="388">
        <f>NPV(0.1,D702:Y702)</f>
        <v>93377.465095982901</v>
      </c>
      <c r="C702" s="388">
        <f>B702-B691</f>
        <v>118.41722960950574</v>
      </c>
      <c r="D702" s="395">
        <v>-2122.6668527747688</v>
      </c>
      <c r="E702" s="396">
        <v>7391.9388368749414</v>
      </c>
      <c r="F702" s="396">
        <v>5728.3130469230246</v>
      </c>
      <c r="G702" s="396">
        <v>9244.9301101990277</v>
      </c>
      <c r="H702" s="396">
        <v>16190.063565796145</v>
      </c>
      <c r="I702" s="396">
        <v>13128.512394579284</v>
      </c>
      <c r="J702" s="396">
        <v>12555.56538898916</v>
      </c>
      <c r="K702" s="396">
        <v>13411.940256716181</v>
      </c>
      <c r="L702" s="396">
        <v>9963.9374228301203</v>
      </c>
      <c r="M702" s="396">
        <v>8372.6600621009165</v>
      </c>
      <c r="N702" s="397">
        <v>18836.743752090533</v>
      </c>
      <c r="O702" s="252">
        <v>18896.49600466781</v>
      </c>
      <c r="P702" s="252">
        <v>19225.874434920457</v>
      </c>
      <c r="Q702" s="252">
        <v>19559.907326944834</v>
      </c>
      <c r="R702" s="252">
        <v>19870.343391634276</v>
      </c>
      <c r="S702" s="252">
        <v>18144.937781233839</v>
      </c>
      <c r="T702" s="252">
        <v>12906.724298315523</v>
      </c>
      <c r="U702" s="252">
        <v>11960.288226934297</v>
      </c>
      <c r="V702" s="252">
        <v>10368.925104407057</v>
      </c>
      <c r="W702" s="252">
        <v>9566.5169546445595</v>
      </c>
      <c r="X702" s="252">
        <v>8083.3094699278236</v>
      </c>
    </row>
    <row r="705" spans="1:24">
      <c r="A705" s="1071" t="s">
        <v>690</v>
      </c>
    </row>
    <row r="706" spans="1:24">
      <c r="A706" s="333">
        <v>36509</v>
      </c>
    </row>
    <row r="707" spans="1:24" ht="12.75">
      <c r="A707" s="308" t="s">
        <v>416</v>
      </c>
      <c r="B707" s="309">
        <v>39289.999796160067</v>
      </c>
      <c r="C707" s="247"/>
      <c r="D707" s="247"/>
      <c r="E707" s="247"/>
      <c r="F707" s="247"/>
      <c r="G707" s="247"/>
      <c r="H707" s="247"/>
      <c r="I707" s="247"/>
      <c r="J707" s="247"/>
      <c r="K707" s="247"/>
      <c r="L707" s="247"/>
      <c r="M707" s="247"/>
      <c r="N707" s="247"/>
      <c r="O707" s="247"/>
      <c r="P707" s="247"/>
      <c r="Q707" s="247"/>
      <c r="R707" s="247"/>
      <c r="S707" s="247"/>
      <c r="T707" s="247"/>
      <c r="U707" s="247"/>
      <c r="V707" s="247"/>
      <c r="W707" s="247"/>
      <c r="X707" s="247"/>
    </row>
    <row r="708" spans="1:24" ht="12.75">
      <c r="A708" s="310" t="s">
        <v>417</v>
      </c>
      <c r="B708" s="311">
        <v>73107.007292660099</v>
      </c>
      <c r="C708" s="247"/>
      <c r="D708" s="247"/>
      <c r="E708" s="247"/>
      <c r="F708" s="247"/>
      <c r="G708" s="247"/>
      <c r="H708" s="247"/>
      <c r="I708" s="247"/>
      <c r="J708" s="247"/>
      <c r="K708" s="247"/>
      <c r="L708" s="247"/>
      <c r="M708" s="247"/>
      <c r="N708" s="247"/>
      <c r="O708" s="247"/>
      <c r="P708" s="247"/>
      <c r="Q708" s="247"/>
      <c r="R708" s="247"/>
      <c r="S708" s="247"/>
      <c r="T708" s="247"/>
      <c r="U708" s="247"/>
      <c r="V708" s="247"/>
      <c r="W708" s="247"/>
      <c r="X708" s="247"/>
    </row>
    <row r="709" spans="1:24" ht="12.75">
      <c r="A709" s="312" t="s">
        <v>418</v>
      </c>
      <c r="B709" s="387" t="s">
        <v>469</v>
      </c>
      <c r="C709" s="387" t="s">
        <v>470</v>
      </c>
      <c r="D709" s="389">
        <v>2000</v>
      </c>
      <c r="E709" s="390">
        <v>2001</v>
      </c>
      <c r="F709" s="390">
        <v>2002</v>
      </c>
      <c r="G709" s="390">
        <v>2003</v>
      </c>
      <c r="H709" s="390">
        <v>2004</v>
      </c>
      <c r="I709" s="390">
        <v>2005</v>
      </c>
      <c r="J709" s="390">
        <v>2006</v>
      </c>
      <c r="K709" s="390">
        <v>2007</v>
      </c>
      <c r="L709" s="390">
        <v>2008</v>
      </c>
      <c r="M709" s="390">
        <v>2009</v>
      </c>
      <c r="N709" s="391">
        <v>2010</v>
      </c>
      <c r="O709" s="248">
        <v>2011</v>
      </c>
      <c r="P709" s="248">
        <v>2012</v>
      </c>
      <c r="Q709" s="248">
        <v>2013</v>
      </c>
      <c r="R709" s="248">
        <v>2014</v>
      </c>
      <c r="S709" s="248">
        <v>2015</v>
      </c>
      <c r="T709" s="248">
        <v>2016</v>
      </c>
      <c r="U709" s="248">
        <v>2017</v>
      </c>
      <c r="V709" s="248">
        <v>2018</v>
      </c>
      <c r="W709" s="248">
        <v>2019</v>
      </c>
      <c r="X709" s="248">
        <v>2020</v>
      </c>
    </row>
    <row r="710" spans="1:24" ht="12.75">
      <c r="A710" s="312" t="s">
        <v>419</v>
      </c>
      <c r="B710" s="388">
        <f>NPV(0.1,D710:Y710)</f>
        <v>452745.42606109625</v>
      </c>
      <c r="C710" s="388">
        <f>B710-B699</f>
        <v>36891.670745985699</v>
      </c>
      <c r="D710" s="392">
        <v>34109.655514032842</v>
      </c>
      <c r="E710" s="393">
        <v>44409.613245661436</v>
      </c>
      <c r="F710" s="393">
        <v>44506.696443908986</v>
      </c>
      <c r="G710" s="393">
        <v>50218.234178732244</v>
      </c>
      <c r="H710" s="393">
        <v>54574.598838780541</v>
      </c>
      <c r="I710" s="393">
        <v>55063.622644064133</v>
      </c>
      <c r="J710" s="393">
        <v>55548.484031710519</v>
      </c>
      <c r="K710" s="393">
        <v>56699.455716380748</v>
      </c>
      <c r="L710" s="393">
        <v>57194.04629186754</v>
      </c>
      <c r="M710" s="393">
        <v>58394.384844342472</v>
      </c>
      <c r="N710" s="394">
        <v>58897.746858850966</v>
      </c>
      <c r="O710" s="252">
        <v>60149.196428335403</v>
      </c>
      <c r="P710" s="252">
        <v>60660.563900666151</v>
      </c>
      <c r="Q710" s="252">
        <v>61163.94362963966</v>
      </c>
      <c r="R710" s="252">
        <v>61658.396119929428</v>
      </c>
      <c r="S710" s="252">
        <v>62142.93269545833</v>
      </c>
      <c r="T710" s="252">
        <v>62616.513394099464</v>
      </c>
      <c r="U710" s="252">
        <v>63078.044780321587</v>
      </c>
      <c r="V710" s="252">
        <v>63526.377672750787</v>
      </c>
      <c r="W710" s="252">
        <v>63960.304783511863</v>
      </c>
      <c r="X710" s="252">
        <v>38508.350706775462</v>
      </c>
    </row>
    <row r="711" spans="1:24" ht="12.75">
      <c r="A711" s="313" t="s">
        <v>420</v>
      </c>
      <c r="B711" s="388">
        <f>NPV(0.1,D711:Y711)</f>
        <v>208105.51421115332</v>
      </c>
      <c r="C711" s="388">
        <f>B711-B700</f>
        <v>36874.063573169726</v>
      </c>
      <c r="D711" s="392">
        <v>21356.073782277548</v>
      </c>
      <c r="E711" s="393">
        <v>22385.44534920025</v>
      </c>
      <c r="F711" s="393">
        <v>22548.90281985957</v>
      </c>
      <c r="G711" s="393">
        <v>23354.893822639748</v>
      </c>
      <c r="H711" s="393">
        <v>23847.518502394414</v>
      </c>
      <c r="I711" s="393">
        <v>24040.087676119558</v>
      </c>
      <c r="J711" s="393">
        <v>24238.569216107149</v>
      </c>
      <c r="K711" s="393">
        <v>24443.32047329488</v>
      </c>
      <c r="L711" s="393">
        <v>24654.214268198233</v>
      </c>
      <c r="M711" s="393">
        <v>24871.434876948693</v>
      </c>
      <c r="N711" s="394">
        <v>25095.172103961664</v>
      </c>
      <c r="O711" s="252">
        <v>25325.621447785019</v>
      </c>
      <c r="P711" s="252">
        <v>25562.98427192308</v>
      </c>
      <c r="Q711" s="252">
        <v>25807.467980785284</v>
      </c>
      <c r="R711" s="252">
        <v>26059.286200913353</v>
      </c>
      <c r="S711" s="252">
        <v>26318.658967645264</v>
      </c>
      <c r="T711" s="252">
        <v>26585.812917379128</v>
      </c>
      <c r="U711" s="252">
        <v>26860.981485605018</v>
      </c>
      <c r="V711" s="252">
        <v>27144.40511087768</v>
      </c>
      <c r="W711" s="252">
        <v>27436.331444908519</v>
      </c>
      <c r="X711" s="252">
        <v>25120.315822802269</v>
      </c>
    </row>
    <row r="712" spans="1:24" ht="12.75">
      <c r="A712" s="313" t="s">
        <v>35</v>
      </c>
      <c r="B712" s="388">
        <f>NPV(0.1,D712:Y712)</f>
        <v>85572.990138685214</v>
      </c>
      <c r="C712" s="388">
        <f>B712-B701</f>
        <v>-96.997393434037804</v>
      </c>
      <c r="D712" s="392">
        <v>-245.31494588945677</v>
      </c>
      <c r="E712" s="393">
        <v>4200.8583859147575</v>
      </c>
      <c r="F712" s="393">
        <v>4369.0050081160161</v>
      </c>
      <c r="G712" s="393">
        <v>7627.2410166891777</v>
      </c>
      <c r="H712" s="393">
        <v>10344.299059895329</v>
      </c>
      <c r="I712" s="393">
        <v>10909.461778457349</v>
      </c>
      <c r="J712" s="393">
        <v>11427.975834576442</v>
      </c>
      <c r="K712" s="393">
        <v>12277.700509824175</v>
      </c>
      <c r="L712" s="393">
        <v>12727.373738403488</v>
      </c>
      <c r="M712" s="393">
        <v>13775.169989307635</v>
      </c>
      <c r="N712" s="394">
        <v>14520.264377591693</v>
      </c>
      <c r="O712" s="252">
        <v>15273.543865137213</v>
      </c>
      <c r="P712" s="252">
        <v>15609.957556662896</v>
      </c>
      <c r="Q712" s="252">
        <v>15937.248210015647</v>
      </c>
      <c r="R712" s="252">
        <v>16254.71953597812</v>
      </c>
      <c r="S712" s="252">
        <v>16561.641678714263</v>
      </c>
      <c r="T712" s="252">
        <v>16857.249828432527</v>
      </c>
      <c r="U712" s="252">
        <v>17311.704331452704</v>
      </c>
      <c r="V712" s="252">
        <v>17821.589163747158</v>
      </c>
      <c r="W712" s="252">
        <v>18420.218099686776</v>
      </c>
      <c r="X712" s="252">
        <v>5031.3208840836305</v>
      </c>
    </row>
    <row r="713" spans="1:24" ht="12.75">
      <c r="A713" s="313" t="s">
        <v>32</v>
      </c>
      <c r="B713" s="388">
        <f>NPV(0.1,D713:Y713)</f>
        <v>93348.32502578311</v>
      </c>
      <c r="C713" s="388">
        <f>B713-B702</f>
        <v>-29.140070199791808</v>
      </c>
      <c r="D713" s="395">
        <v>-2135.7527299712647</v>
      </c>
      <c r="E713" s="396">
        <v>7379.1381611209536</v>
      </c>
      <c r="F713" s="396">
        <v>5714.1430898615345</v>
      </c>
      <c r="G713" s="396">
        <v>9230.6016113447768</v>
      </c>
      <c r="H713" s="396">
        <v>16260.138089316541</v>
      </c>
      <c r="I713" s="396">
        <v>13127.21572974123</v>
      </c>
      <c r="J713" s="396">
        <v>12547.509395452942</v>
      </c>
      <c r="K713" s="396">
        <v>13404.121097113526</v>
      </c>
      <c r="L713" s="396">
        <v>9953.0215467799826</v>
      </c>
      <c r="M713" s="396">
        <v>8359.8625123969814</v>
      </c>
      <c r="N713" s="397">
        <v>18832.784255518192</v>
      </c>
      <c r="O713" s="252">
        <v>18892.051334026564</v>
      </c>
      <c r="P713" s="252">
        <v>19221.577999139397</v>
      </c>
      <c r="Q713" s="252">
        <v>19555.755678905003</v>
      </c>
      <c r="R713" s="252">
        <v>19866.339978454624</v>
      </c>
      <c r="S713" s="252">
        <v>18141.589329400016</v>
      </c>
      <c r="T713" s="252">
        <v>12901.027510077527</v>
      </c>
      <c r="U713" s="252">
        <v>11953.683142197704</v>
      </c>
      <c r="V713" s="252">
        <v>10360.869668142159</v>
      </c>
      <c r="W713" s="252">
        <v>9557.6997331817711</v>
      </c>
      <c r="X713" s="252">
        <v>8084.0929202286316</v>
      </c>
    </row>
    <row r="717" spans="1:24">
      <c r="A717" s="1071" t="s">
        <v>692</v>
      </c>
    </row>
    <row r="718" spans="1:24">
      <c r="A718" s="333">
        <v>36529</v>
      </c>
    </row>
    <row r="719" spans="1:24" ht="12.75">
      <c r="A719" s="308" t="s">
        <v>416</v>
      </c>
      <c r="B719" s="309">
        <v>38525.113012615373</v>
      </c>
      <c r="C719" s="247"/>
      <c r="D719" s="247"/>
      <c r="E719" s="247"/>
      <c r="F719" s="247"/>
      <c r="G719" s="247"/>
      <c r="H719" s="247"/>
      <c r="I719" s="247"/>
      <c r="J719" s="247"/>
      <c r="K719" s="247"/>
      <c r="L719" s="247"/>
      <c r="M719" s="247"/>
      <c r="N719" s="247"/>
      <c r="O719" s="247"/>
      <c r="P719" s="247"/>
      <c r="Q719" s="247"/>
      <c r="R719" s="247"/>
      <c r="S719" s="247"/>
      <c r="T719" s="247"/>
      <c r="U719" s="247"/>
      <c r="V719" s="247"/>
      <c r="W719" s="247"/>
      <c r="X719" s="247"/>
    </row>
    <row r="720" spans="1:24" ht="12.75">
      <c r="A720" s="310" t="s">
        <v>417</v>
      </c>
      <c r="B720" s="311">
        <v>71958.046729100126</v>
      </c>
      <c r="C720" s="247"/>
      <c r="D720" s="247"/>
      <c r="E720" s="247"/>
      <c r="F720" s="247"/>
      <c r="G720" s="247"/>
      <c r="H720" s="247"/>
      <c r="I720" s="247"/>
      <c r="J720" s="247"/>
      <c r="K720" s="247"/>
      <c r="L720" s="247"/>
      <c r="M720" s="247"/>
      <c r="N720" s="247"/>
      <c r="O720" s="247"/>
      <c r="P720" s="247"/>
      <c r="Q720" s="247"/>
      <c r="R720" s="247"/>
      <c r="S720" s="247"/>
      <c r="T720" s="247"/>
      <c r="U720" s="247"/>
      <c r="V720" s="247"/>
      <c r="W720" s="247"/>
      <c r="X720" s="247"/>
    </row>
    <row r="721" spans="1:24" ht="12.75">
      <c r="A721" s="312" t="s">
        <v>418</v>
      </c>
      <c r="B721" s="387" t="s">
        <v>469</v>
      </c>
      <c r="C721" s="387" t="s">
        <v>470</v>
      </c>
      <c r="D721" s="389">
        <v>2000</v>
      </c>
      <c r="E721" s="390">
        <v>2001</v>
      </c>
      <c r="F721" s="390">
        <v>2002</v>
      </c>
      <c r="G721" s="390">
        <v>2003</v>
      </c>
      <c r="H721" s="390">
        <v>2004</v>
      </c>
      <c r="I721" s="390">
        <v>2005</v>
      </c>
      <c r="J721" s="390">
        <v>2006</v>
      </c>
      <c r="K721" s="390">
        <v>2007</v>
      </c>
      <c r="L721" s="390">
        <v>2008</v>
      </c>
      <c r="M721" s="390">
        <v>2009</v>
      </c>
      <c r="N721" s="391">
        <v>2010</v>
      </c>
      <c r="O721" s="248">
        <v>2011</v>
      </c>
      <c r="P721" s="248">
        <v>2012</v>
      </c>
      <c r="Q721" s="248">
        <v>2013</v>
      </c>
      <c r="R721" s="248">
        <v>2014</v>
      </c>
      <c r="S721" s="248">
        <v>2015</v>
      </c>
      <c r="T721" s="248">
        <v>2016</v>
      </c>
      <c r="U721" s="248">
        <v>2017</v>
      </c>
      <c r="V721" s="248">
        <v>2018</v>
      </c>
      <c r="W721" s="248">
        <v>2019</v>
      </c>
      <c r="X721" s="248">
        <v>2020</v>
      </c>
    </row>
    <row r="722" spans="1:24" ht="12.75">
      <c r="A722" s="312" t="s">
        <v>419</v>
      </c>
      <c r="B722" s="388">
        <f>NPV(0.1,D722:Y722)</f>
        <v>452746.04522128857</v>
      </c>
      <c r="C722" s="388">
        <f>B722-B710</f>
        <v>0.61916019232012331</v>
      </c>
      <c r="D722" s="392">
        <v>34109.700766946342</v>
      </c>
      <c r="E722" s="393">
        <v>44409.687929227432</v>
      </c>
      <c r="F722" s="393">
        <v>44506.771127474982</v>
      </c>
      <c r="G722" s="393">
        <v>50218.30886229824</v>
      </c>
      <c r="H722" s="393">
        <v>54574.673522346537</v>
      </c>
      <c r="I722" s="393">
        <v>55063.697327630136</v>
      </c>
      <c r="J722" s="393">
        <v>55548.558715276522</v>
      </c>
      <c r="K722" s="393">
        <v>56699.530399946743</v>
      </c>
      <c r="L722" s="393">
        <v>57194.12097543355</v>
      </c>
      <c r="M722" s="393">
        <v>58394.459527908475</v>
      </c>
      <c r="N722" s="394">
        <v>58897.821542416961</v>
      </c>
      <c r="O722" s="252">
        <v>60149.271111901398</v>
      </c>
      <c r="P722" s="252">
        <v>60660.638584232147</v>
      </c>
      <c r="Q722" s="252">
        <v>61164.018313205663</v>
      </c>
      <c r="R722" s="252">
        <v>61658.470803495424</v>
      </c>
      <c r="S722" s="252">
        <v>62143.007379024326</v>
      </c>
      <c r="T722" s="252">
        <v>62616.588077665459</v>
      </c>
      <c r="U722" s="252">
        <v>63078.11946388759</v>
      </c>
      <c r="V722" s="252">
        <v>63526.452356316782</v>
      </c>
      <c r="W722" s="252">
        <v>63960.379467077859</v>
      </c>
      <c r="X722" s="252">
        <v>38508.425390341457</v>
      </c>
    </row>
    <row r="723" spans="1:24" ht="12.75">
      <c r="A723" s="313" t="s">
        <v>420</v>
      </c>
      <c r="B723" s="388">
        <f>NPV(0.1,D723:Y723)</f>
        <v>208125.5929334996</v>
      </c>
      <c r="C723" s="388">
        <f>B723-B711</f>
        <v>20.07872234628303</v>
      </c>
      <c r="D723" s="392">
        <v>21358.369035191048</v>
      </c>
      <c r="E723" s="393">
        <v>22387.77003276625</v>
      </c>
      <c r="F723" s="393">
        <v>22551.227503425569</v>
      </c>
      <c r="G723" s="393">
        <v>23357.218506205747</v>
      </c>
      <c r="H723" s="393">
        <v>23849.843185960413</v>
      </c>
      <c r="I723" s="393">
        <v>24042.412359685557</v>
      </c>
      <c r="J723" s="393">
        <v>24240.893899673152</v>
      </c>
      <c r="K723" s="393">
        <v>24445.645156860875</v>
      </c>
      <c r="L723" s="393">
        <v>24656.538951764236</v>
      </c>
      <c r="M723" s="393">
        <v>24873.759560514693</v>
      </c>
      <c r="N723" s="394">
        <v>25097.496787527663</v>
      </c>
      <c r="O723" s="252">
        <v>25327.946131351018</v>
      </c>
      <c r="P723" s="252">
        <v>25565.308955489079</v>
      </c>
      <c r="Q723" s="252">
        <v>25809.79266435128</v>
      </c>
      <c r="R723" s="252">
        <v>26061.610884479356</v>
      </c>
      <c r="S723" s="252">
        <v>26320.983651211263</v>
      </c>
      <c r="T723" s="252">
        <v>26588.137600945131</v>
      </c>
      <c r="U723" s="252">
        <v>26863.306169171017</v>
      </c>
      <c r="V723" s="252">
        <v>27146.72979444368</v>
      </c>
      <c r="W723" s="252">
        <v>27438.656128474518</v>
      </c>
      <c r="X723" s="252">
        <v>25122.640506368269</v>
      </c>
    </row>
    <row r="724" spans="1:24" ht="12.75">
      <c r="A724" s="313" t="s">
        <v>35</v>
      </c>
      <c r="B724" s="388">
        <f>NPV(0.1,D724:Y724)</f>
        <v>85095.597903205169</v>
      </c>
      <c r="C724" s="388">
        <f>B724-B712</f>
        <v>-477.3922354800452</v>
      </c>
      <c r="D724" s="392">
        <v>-305.74987274590649</v>
      </c>
      <c r="E724" s="393">
        <v>4132.2463145385282</v>
      </c>
      <c r="F724" s="393">
        <v>4301.9667396559471</v>
      </c>
      <c r="G724" s="393">
        <v>7562.4408831940809</v>
      </c>
      <c r="H724" s="393">
        <v>10282.401393414013</v>
      </c>
      <c r="I724" s="393">
        <v>10849.409638693825</v>
      </c>
      <c r="J724" s="393">
        <v>11369.769221530703</v>
      </c>
      <c r="K724" s="393">
        <v>12221.597854806312</v>
      </c>
      <c r="L724" s="393">
        <v>12673.375041413501</v>
      </c>
      <c r="M724" s="393">
        <v>13724.603914443138</v>
      </c>
      <c r="N724" s="394">
        <v>14474.053688211583</v>
      </c>
      <c r="O724" s="252">
        <v>15228.366900997436</v>
      </c>
      <c r="P724" s="252">
        <v>15566.072749073544</v>
      </c>
      <c r="Q724" s="252">
        <v>15894.655558976714</v>
      </c>
      <c r="R724" s="252">
        <v>16213.419041489604</v>
      </c>
      <c r="S724" s="252">
        <v>16521.63334077617</v>
      </c>
      <c r="T724" s="252">
        <v>16818.533647044853</v>
      </c>
      <c r="U724" s="252">
        <v>17275.572463165874</v>
      </c>
      <c r="V724" s="252">
        <v>17788.558471181335</v>
      </c>
      <c r="W724" s="252">
        <v>18391.063876772212</v>
      </c>
      <c r="X724" s="252">
        <v>5006.5599934405036</v>
      </c>
    </row>
    <row r="725" spans="1:24" ht="12.75">
      <c r="A725" s="313" t="s">
        <v>32</v>
      </c>
      <c r="B725" s="388">
        <f>NPV(0.1,D725:Y725)</f>
        <v>92885.776479639477</v>
      </c>
      <c r="C725" s="388">
        <f>B725-B713</f>
        <v>-462.54854614363285</v>
      </c>
      <c r="D725" s="395">
        <v>-2251.1902156847636</v>
      </c>
      <c r="E725" s="396">
        <v>7264.0896239149524</v>
      </c>
      <c r="F725" s="396">
        <v>5587.0181749130334</v>
      </c>
      <c r="G725" s="396">
        <v>9092.514268850904</v>
      </c>
      <c r="H725" s="396">
        <v>16500.361346345664</v>
      </c>
      <c r="I725" s="396">
        <v>13083.431661103243</v>
      </c>
      <c r="J725" s="396">
        <v>12498.531090505829</v>
      </c>
      <c r="K725" s="396">
        <v>13357.299545514799</v>
      </c>
      <c r="L725" s="396">
        <v>9878.8205053886268</v>
      </c>
      <c r="M725" s="396">
        <v>8269.1340447516268</v>
      </c>
      <c r="N725" s="397">
        <v>18819.93500928671</v>
      </c>
      <c r="O725" s="252">
        <v>18874.991090905925</v>
      </c>
      <c r="P725" s="252">
        <v>19205.757117248671</v>
      </c>
      <c r="Q725" s="252">
        <v>19541.279748885194</v>
      </c>
      <c r="R725" s="252">
        <v>19853.103409664731</v>
      </c>
      <c r="S725" s="252">
        <v>18114.070297609367</v>
      </c>
      <c r="T725" s="252">
        <v>12832.738428036106</v>
      </c>
      <c r="U725" s="252">
        <v>11877.383338357127</v>
      </c>
      <c r="V725" s="252">
        <v>10271.778487672589</v>
      </c>
      <c r="W725" s="252">
        <v>9461.8899874634699</v>
      </c>
      <c r="X725" s="252">
        <v>8082.7343034317537</v>
      </c>
    </row>
  </sheetData>
  <pageMargins left="0.5" right="0.5" top="0.75" bottom="0.75" header="0" footer="0"/>
  <pageSetup scale="72" fitToHeight="6" orientation="landscape" r:id="rId1"/>
  <headerFooter alignWithMargins="0">
    <oddFooter>&amp;L&amp;D   &amp;T&amp;R&amp;F
&amp;A &amp;P</oddFooter>
  </headerFooter>
  <rowBreaks count="1" manualBreakCount="1">
    <brk id="110"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F45"/>
  <sheetViews>
    <sheetView topLeftCell="D16" workbookViewId="0">
      <selection activeCell="D45" sqref="D45:X45"/>
    </sheetView>
  </sheetViews>
  <sheetFormatPr defaultRowHeight="12.75"/>
  <cols>
    <col min="1" max="32" width="9.140625" style="247"/>
  </cols>
  <sheetData>
    <row r="1" spans="1:24" ht="20.25">
      <c r="A1" s="501" t="str">
        <f>'Project Assumptions'!$A$2</f>
        <v>GLEASON, TN</v>
      </c>
      <c r="B1" s="553"/>
      <c r="C1" s="553"/>
      <c r="D1" s="502"/>
    </row>
    <row r="2" spans="1:24">
      <c r="A2" s="503" t="s">
        <v>383</v>
      </c>
      <c r="B2" s="554"/>
      <c r="C2" s="554"/>
      <c r="D2" s="504"/>
    </row>
    <row r="3" spans="1:24">
      <c r="D3" s="249">
        <f>'[1]PPA Assumptions &amp;Summary'!C3</f>
        <v>1</v>
      </c>
      <c r="E3" s="249">
        <f>'[1]PPA Assumptions &amp;Summary'!D3</f>
        <v>2</v>
      </c>
      <c r="F3" s="249">
        <f>'[1]PPA Assumptions &amp;Summary'!E3</f>
        <v>3</v>
      </c>
      <c r="G3" s="249">
        <f>'[1]PPA Assumptions &amp;Summary'!F3</f>
        <v>4</v>
      </c>
      <c r="H3" s="249">
        <f>'[1]PPA Assumptions &amp;Summary'!G3</f>
        <v>5</v>
      </c>
      <c r="I3" s="249">
        <f>'[1]PPA Assumptions &amp;Summary'!H3</f>
        <v>6</v>
      </c>
      <c r="J3" s="249">
        <f>'[1]PPA Assumptions &amp;Summary'!I3</f>
        <v>7</v>
      </c>
      <c r="K3" s="249">
        <f>'[1]PPA Assumptions &amp;Summary'!J3</f>
        <v>8</v>
      </c>
      <c r="L3" s="249">
        <f>'[1]PPA Assumptions &amp;Summary'!K3</f>
        <v>9</v>
      </c>
      <c r="M3" s="249">
        <f>'[1]PPA Assumptions &amp;Summary'!L3</f>
        <v>10</v>
      </c>
      <c r="N3" s="249">
        <f>'[1]PPA Assumptions &amp;Summary'!M3</f>
        <v>11</v>
      </c>
      <c r="O3" s="249">
        <f>'[1]PPA Assumptions &amp;Summary'!N3</f>
        <v>12</v>
      </c>
      <c r="P3" s="249">
        <f>'[1]PPA Assumptions &amp;Summary'!O3</f>
        <v>13</v>
      </c>
      <c r="Q3" s="249">
        <f>'[1]PPA Assumptions &amp;Summary'!P3</f>
        <v>14</v>
      </c>
      <c r="R3" s="249">
        <f>'[1]PPA Assumptions &amp;Summary'!Q3</f>
        <v>15</v>
      </c>
      <c r="S3" s="249">
        <f>'[1]PPA Assumptions &amp;Summary'!R3</f>
        <v>16</v>
      </c>
      <c r="T3" s="249">
        <f>'[1]PPA Assumptions &amp;Summary'!S3</f>
        <v>17</v>
      </c>
      <c r="U3" s="249">
        <f>'[1]PPA Assumptions &amp;Summary'!T3</f>
        <v>18</v>
      </c>
      <c r="V3" s="249">
        <f>'[1]PPA Assumptions &amp;Summary'!U3</f>
        <v>19</v>
      </c>
      <c r="W3" s="249">
        <f>'[1]PPA Assumptions &amp;Summary'!V3</f>
        <v>20</v>
      </c>
      <c r="X3" s="249">
        <f>'[1]PPA Assumptions &amp;Summary'!W3</f>
        <v>21</v>
      </c>
    </row>
    <row r="4" spans="1:24">
      <c r="A4" s="555"/>
      <c r="B4" s="549"/>
      <c r="C4" s="549"/>
      <c r="D4" s="556">
        <f>'PPA Assumptions &amp;Summary'!C4</f>
        <v>2000</v>
      </c>
      <c r="E4" s="556">
        <f>'PPA Assumptions &amp;Summary'!D4</f>
        <v>2001</v>
      </c>
      <c r="F4" s="556">
        <f>'PPA Assumptions &amp;Summary'!E4</f>
        <v>2002</v>
      </c>
      <c r="G4" s="556">
        <f>'PPA Assumptions &amp;Summary'!F4</f>
        <v>2003</v>
      </c>
      <c r="H4" s="556">
        <f>'PPA Assumptions &amp;Summary'!G4</f>
        <v>2004</v>
      </c>
      <c r="I4" s="556">
        <f>'PPA Assumptions &amp;Summary'!H4</f>
        <v>2005</v>
      </c>
      <c r="J4" s="556">
        <f>'PPA Assumptions &amp;Summary'!I4</f>
        <v>2006</v>
      </c>
      <c r="K4" s="556">
        <f>'PPA Assumptions &amp;Summary'!J4</f>
        <v>2007</v>
      </c>
      <c r="L4" s="556">
        <f>'PPA Assumptions &amp;Summary'!K4</f>
        <v>2008</v>
      </c>
      <c r="M4" s="556">
        <f>'PPA Assumptions &amp;Summary'!L4</f>
        <v>2009</v>
      </c>
      <c r="N4" s="556">
        <f>'PPA Assumptions &amp;Summary'!M4</f>
        <v>2010</v>
      </c>
      <c r="O4" s="556">
        <f>'PPA Assumptions &amp;Summary'!N4</f>
        <v>2011</v>
      </c>
      <c r="P4" s="556">
        <f>'PPA Assumptions &amp;Summary'!O4</f>
        <v>2012</v>
      </c>
      <c r="Q4" s="556">
        <f>'PPA Assumptions &amp;Summary'!P4</f>
        <v>2013</v>
      </c>
      <c r="R4" s="556">
        <f>'PPA Assumptions &amp;Summary'!Q4</f>
        <v>2014</v>
      </c>
      <c r="S4" s="556">
        <f>'PPA Assumptions &amp;Summary'!R4</f>
        <v>2015</v>
      </c>
      <c r="T4" s="556">
        <f>'PPA Assumptions &amp;Summary'!S4</f>
        <v>2016</v>
      </c>
      <c r="U4" s="556">
        <f>'PPA Assumptions &amp;Summary'!T4</f>
        <v>2017</v>
      </c>
      <c r="V4" s="556">
        <f>'PPA Assumptions &amp;Summary'!U4</f>
        <v>2018</v>
      </c>
      <c r="W4" s="556">
        <f>'PPA Assumptions &amp;Summary'!V4</f>
        <v>2019</v>
      </c>
      <c r="X4" s="557">
        <f>'PPA Assumptions &amp;Summary'!W4</f>
        <v>2020</v>
      </c>
    </row>
    <row r="5" spans="1:24">
      <c r="A5" s="558" t="s">
        <v>384</v>
      </c>
      <c r="B5" s="148"/>
      <c r="C5" s="148"/>
      <c r="D5" s="148"/>
      <c r="E5" s="148"/>
      <c r="F5" s="148"/>
      <c r="G5" s="148"/>
      <c r="H5" s="148"/>
      <c r="I5" s="148"/>
      <c r="J5" s="148"/>
      <c r="K5" s="148"/>
      <c r="L5" s="148"/>
      <c r="M5" s="148"/>
      <c r="N5" s="148"/>
      <c r="O5" s="148"/>
      <c r="P5" s="148"/>
      <c r="Q5" s="148"/>
      <c r="R5" s="148"/>
      <c r="S5" s="148"/>
      <c r="T5" s="148"/>
      <c r="U5" s="148"/>
      <c r="V5" s="148"/>
      <c r="W5" s="148"/>
      <c r="X5" s="559"/>
    </row>
    <row r="6" spans="1:24">
      <c r="A6" s="560"/>
      <c r="B6" s="296" t="s">
        <v>385</v>
      </c>
      <c r="C6" s="148"/>
      <c r="D6" s="148"/>
      <c r="E6" s="148"/>
      <c r="F6" s="148"/>
      <c r="G6" s="148"/>
      <c r="H6" s="148"/>
      <c r="I6" s="148"/>
      <c r="J6" s="148"/>
      <c r="K6" s="148"/>
      <c r="L6" s="148"/>
      <c r="M6" s="148"/>
      <c r="N6" s="148"/>
      <c r="O6" s="148"/>
      <c r="P6" s="148"/>
      <c r="Q6" s="148"/>
      <c r="R6" s="148"/>
      <c r="S6" s="148"/>
      <c r="T6" s="148"/>
      <c r="U6" s="148"/>
      <c r="V6" s="148"/>
      <c r="W6" s="148"/>
      <c r="X6" s="559"/>
    </row>
    <row r="7" spans="1:24">
      <c r="A7" s="560"/>
      <c r="B7" s="296" t="s">
        <v>386</v>
      </c>
      <c r="C7" s="148"/>
      <c r="D7" s="148"/>
      <c r="E7" s="148"/>
      <c r="F7" s="148"/>
      <c r="G7" s="148"/>
      <c r="H7" s="148"/>
      <c r="I7" s="148"/>
      <c r="J7" s="148"/>
      <c r="K7" s="148"/>
      <c r="L7" s="148"/>
      <c r="M7" s="148"/>
      <c r="N7" s="148"/>
      <c r="O7" s="148"/>
      <c r="P7" s="148"/>
      <c r="Q7" s="148"/>
      <c r="R7" s="148"/>
      <c r="S7" s="148"/>
      <c r="T7" s="148"/>
      <c r="U7" s="148"/>
      <c r="V7" s="148"/>
      <c r="W7" s="148"/>
      <c r="X7" s="559"/>
    </row>
    <row r="8" spans="1:24">
      <c r="A8" s="560"/>
      <c r="B8" s="296" t="s">
        <v>387</v>
      </c>
      <c r="C8" s="148"/>
      <c r="D8" s="148"/>
      <c r="E8" s="148"/>
      <c r="F8" s="148"/>
      <c r="G8" s="148"/>
      <c r="H8" s="148"/>
      <c r="I8" s="148"/>
      <c r="J8" s="148"/>
      <c r="K8" s="148"/>
      <c r="L8" s="148"/>
      <c r="M8" s="148"/>
      <c r="N8" s="148"/>
      <c r="O8" s="148"/>
      <c r="P8" s="148"/>
      <c r="Q8" s="148"/>
      <c r="R8" s="148"/>
      <c r="S8" s="148"/>
      <c r="T8" s="148"/>
      <c r="U8" s="148"/>
      <c r="V8" s="148"/>
      <c r="W8" s="148"/>
      <c r="X8" s="559"/>
    </row>
    <row r="9" spans="1:24">
      <c r="A9" s="560"/>
      <c r="B9" s="296" t="s">
        <v>388</v>
      </c>
      <c r="C9" s="148"/>
      <c r="D9" s="148"/>
      <c r="E9" s="148"/>
      <c r="F9" s="148"/>
      <c r="G9" s="148"/>
      <c r="H9" s="148"/>
      <c r="I9" s="148"/>
      <c r="J9" s="148"/>
      <c r="K9" s="148"/>
      <c r="L9" s="148"/>
      <c r="M9" s="148"/>
      <c r="N9" s="148"/>
      <c r="O9" s="148"/>
      <c r="P9" s="148"/>
      <c r="Q9" s="148"/>
      <c r="R9" s="148"/>
      <c r="S9" s="148"/>
      <c r="T9" s="148"/>
      <c r="U9" s="148"/>
      <c r="V9" s="148"/>
      <c r="W9" s="148"/>
      <c r="X9" s="559"/>
    </row>
    <row r="10" spans="1:24">
      <c r="A10" s="560"/>
      <c r="B10" s="296" t="s">
        <v>389</v>
      </c>
      <c r="C10" s="148"/>
      <c r="D10" s="561">
        <f>IF(D3&gt;ProjectLife,0,'Project Assumptions'!$C$50+'Cash Flow Statement'!D17-'Cash Flow Statement'!D16)</f>
        <v>0</v>
      </c>
      <c r="E10" s="561">
        <f>IF(E3&gt;ProjectLife,0,'Project Assumptions'!$C$50+'Cash Flow Statement'!E17-'Cash Flow Statement'!E16)</f>
        <v>0</v>
      </c>
      <c r="F10" s="561">
        <f>IF(F3&gt;ProjectLife,0,'Project Assumptions'!$C$50+'Cash Flow Statement'!F17-'Cash Flow Statement'!F16)</f>
        <v>0</v>
      </c>
      <c r="G10" s="561">
        <f>IF(G3&gt;ProjectLife,0,'Project Assumptions'!$C$50+'Cash Flow Statement'!G17-'Cash Flow Statement'!G16)</f>
        <v>0</v>
      </c>
      <c r="H10" s="561">
        <f>IF(H3&gt;ProjectLife,0,'Project Assumptions'!$C$50+'Cash Flow Statement'!H17-'Cash Flow Statement'!H16)</f>
        <v>0</v>
      </c>
      <c r="I10" s="561">
        <f>IF(I3&gt;ProjectLife,0,'Project Assumptions'!$C$50+'Cash Flow Statement'!I17-'Cash Flow Statement'!I16)</f>
        <v>0</v>
      </c>
      <c r="J10" s="561">
        <f>IF(J3&gt;ProjectLife,0,'Project Assumptions'!$C$50+'Cash Flow Statement'!J17-'Cash Flow Statement'!J16)</f>
        <v>0</v>
      </c>
      <c r="K10" s="561">
        <f>IF(K3&gt;ProjectLife,0,'Project Assumptions'!$C$50+'Cash Flow Statement'!K17-'Cash Flow Statement'!K16)</f>
        <v>0</v>
      </c>
      <c r="L10" s="561">
        <f>IF(L3&gt;ProjectLife,0,'Project Assumptions'!$C$50+'Cash Flow Statement'!L17-'Cash Flow Statement'!L16)</f>
        <v>0</v>
      </c>
      <c r="M10" s="561">
        <f>IF(M3&gt;ProjectLife,0,'Project Assumptions'!$C$50+'Cash Flow Statement'!M17-'Cash Flow Statement'!M16)</f>
        <v>0</v>
      </c>
      <c r="N10" s="561">
        <f>IF(N3&gt;ProjectLife,0,'Project Assumptions'!$C$50+'Cash Flow Statement'!N17-'Cash Flow Statement'!N16)</f>
        <v>0</v>
      </c>
      <c r="O10" s="561">
        <f>IF(O3&gt;ProjectLife,0,'Project Assumptions'!$C$50+'Cash Flow Statement'!O17-'Cash Flow Statement'!O16)</f>
        <v>0</v>
      </c>
      <c r="P10" s="561">
        <f>IF(P3&gt;ProjectLife,0,'Project Assumptions'!$C$50+'Cash Flow Statement'!P17-'Cash Flow Statement'!P16)</f>
        <v>0</v>
      </c>
      <c r="Q10" s="561">
        <f>IF(Q3&gt;ProjectLife,0,'Project Assumptions'!$C$50+'Cash Flow Statement'!Q17-'Cash Flow Statement'!Q16)</f>
        <v>0</v>
      </c>
      <c r="R10" s="561">
        <f>IF(R3&gt;ProjectLife,0,'Project Assumptions'!$C$50+'Cash Flow Statement'!R17-'Cash Flow Statement'!R16)</f>
        <v>0</v>
      </c>
      <c r="S10" s="561">
        <f>IF(S3&gt;ProjectLife,0,'Project Assumptions'!$C$50+'Cash Flow Statement'!S17-'Cash Flow Statement'!S16)</f>
        <v>0</v>
      </c>
      <c r="T10" s="561">
        <f>IF(T3&gt;ProjectLife,0,'Project Assumptions'!$C$50+'Cash Flow Statement'!T17-'Cash Flow Statement'!T16)</f>
        <v>0</v>
      </c>
      <c r="U10" s="561">
        <f>IF(U3&gt;ProjectLife,0,'Project Assumptions'!$C$50+'Cash Flow Statement'!U17-'Cash Flow Statement'!U16)</f>
        <v>0</v>
      </c>
      <c r="V10" s="561">
        <f>IF(V3&gt;ProjectLife,0,'Project Assumptions'!$C$50+'Cash Flow Statement'!V17-'Cash Flow Statement'!V16)</f>
        <v>0</v>
      </c>
      <c r="W10" s="561">
        <f>IF(W3&gt;ProjectLife,0,'Project Assumptions'!$C$50+'Cash Flow Statement'!W17-'Cash Flow Statement'!W16)</f>
        <v>0</v>
      </c>
      <c r="X10" s="562">
        <f>IF(X3&gt;ProjectLife,0,'Project Assumptions'!$C$50+'Cash Flow Statement'!X17-'Cash Flow Statement'!X16)</f>
        <v>0</v>
      </c>
    </row>
    <row r="11" spans="1:24">
      <c r="A11" s="560"/>
      <c r="B11" s="296" t="s">
        <v>390</v>
      </c>
      <c r="C11" s="148"/>
      <c r="D11" s="563">
        <f>'Maintenance Reserves'!D13</f>
        <v>2365.3332</v>
      </c>
      <c r="E11" s="563">
        <f>'Maintenance Reserves'!E13</f>
        <v>4801.6263959999997</v>
      </c>
      <c r="F11" s="563">
        <f>'Maintenance Reserves'!F13</f>
        <v>7311.0083878799996</v>
      </c>
      <c r="G11" s="563">
        <f>'Maintenance Reserves'!G13</f>
        <v>7535.6014198978792</v>
      </c>
      <c r="H11" s="563">
        <f>'Maintenance Reserves'!H13</f>
        <v>10197.80477508337</v>
      </c>
      <c r="I11" s="563">
        <f>'Maintenance Reserves'!I13</f>
        <v>12939.874230924426</v>
      </c>
      <c r="J11" s="563">
        <f>'Maintenance Reserves'!J13</f>
        <v>7842.3889636729236</v>
      </c>
      <c r="K11" s="563">
        <f>'Maintenance Reserves'!K13</f>
        <v>10751.450449374701</v>
      </c>
      <c r="L11" s="563">
        <f>'Maintenance Reserves'!L13</f>
        <v>13747.783779647531</v>
      </c>
      <c r="M11" s="563">
        <f>'Maintenance Reserves'!M13</f>
        <v>9665.379745444925</v>
      </c>
      <c r="N11" s="563">
        <f>'Maintenance Reserves'!N13</f>
        <v>12844.189775531371</v>
      </c>
      <c r="O11" s="563">
        <f>'Maintenance Reserves'!O13</f>
        <v>16118.36410652041</v>
      </c>
      <c r="P11" s="563">
        <f>'Maintenance Reserves'!P13</f>
        <v>19490.763667439118</v>
      </c>
      <c r="Q11" s="563">
        <f>'Maintenance Reserves'!Q13</f>
        <v>-7555.6384149543082</v>
      </c>
      <c r="R11" s="563">
        <f>'Maintenance Reserves'!R13</f>
        <v>-3977.8597207756488</v>
      </c>
      <c r="S11" s="563">
        <f>'Maintenance Reserves'!S13</f>
        <v>-292.74766577163064</v>
      </c>
      <c r="T11" s="563">
        <f>'Maintenance Reserves'!T13</f>
        <v>37.07477355293895</v>
      </c>
      <c r="U11" s="563">
        <f>'Maintenance Reserves'!U13</f>
        <v>3946.6101527067021</v>
      </c>
      <c r="V11" s="563">
        <f>'Maintenance Reserves'!V13</f>
        <v>7973.4315932350783</v>
      </c>
      <c r="W11" s="563">
        <f>'Maintenance Reserves'!W13</f>
        <v>-20740.128427761592</v>
      </c>
      <c r="X11" s="564">
        <f>'Maintenance Reserves'!X13</f>
        <v>-16468.07356150504</v>
      </c>
    </row>
    <row r="12" spans="1:24">
      <c r="A12" s="560"/>
      <c r="B12" s="296" t="s">
        <v>391</v>
      </c>
      <c r="C12" s="148"/>
      <c r="D12" s="393">
        <f>SUM(D6:D11)</f>
        <v>2365.3332</v>
      </c>
      <c r="E12" s="393">
        <f t="shared" ref="E12:X12" si="0">SUM(E6:E11)</f>
        <v>4801.6263959999997</v>
      </c>
      <c r="F12" s="393">
        <f t="shared" si="0"/>
        <v>7311.0083878799996</v>
      </c>
      <c r="G12" s="393">
        <f t="shared" si="0"/>
        <v>7535.6014198978792</v>
      </c>
      <c r="H12" s="393">
        <f t="shared" si="0"/>
        <v>10197.80477508337</v>
      </c>
      <c r="I12" s="393">
        <f t="shared" si="0"/>
        <v>12939.874230924426</v>
      </c>
      <c r="J12" s="393">
        <f t="shared" si="0"/>
        <v>7842.3889636729236</v>
      </c>
      <c r="K12" s="393">
        <f t="shared" si="0"/>
        <v>10751.450449374701</v>
      </c>
      <c r="L12" s="393">
        <f t="shared" si="0"/>
        <v>13747.783779647531</v>
      </c>
      <c r="M12" s="393">
        <f t="shared" si="0"/>
        <v>9665.379745444925</v>
      </c>
      <c r="N12" s="393">
        <f t="shared" si="0"/>
        <v>12844.189775531371</v>
      </c>
      <c r="O12" s="393">
        <f t="shared" si="0"/>
        <v>16118.36410652041</v>
      </c>
      <c r="P12" s="393">
        <f t="shared" si="0"/>
        <v>19490.763667439118</v>
      </c>
      <c r="Q12" s="393">
        <f t="shared" si="0"/>
        <v>-7555.6384149543082</v>
      </c>
      <c r="R12" s="393">
        <f t="shared" si="0"/>
        <v>-3977.8597207756488</v>
      </c>
      <c r="S12" s="393">
        <f t="shared" si="0"/>
        <v>-292.74766577163064</v>
      </c>
      <c r="T12" s="393">
        <f t="shared" si="0"/>
        <v>37.07477355293895</v>
      </c>
      <c r="U12" s="393">
        <f t="shared" si="0"/>
        <v>3946.6101527067021</v>
      </c>
      <c r="V12" s="393">
        <f t="shared" si="0"/>
        <v>7973.4315932350783</v>
      </c>
      <c r="W12" s="393">
        <f t="shared" si="0"/>
        <v>-20740.128427761592</v>
      </c>
      <c r="X12" s="394">
        <f t="shared" si="0"/>
        <v>-16468.07356150504</v>
      </c>
    </row>
    <row r="13" spans="1:24">
      <c r="A13" s="565"/>
      <c r="B13" s="148"/>
      <c r="C13" s="148"/>
      <c r="D13" s="148"/>
      <c r="E13" s="148"/>
      <c r="F13" s="148"/>
      <c r="G13" s="148"/>
      <c r="H13" s="148"/>
      <c r="I13" s="148"/>
      <c r="J13" s="148"/>
      <c r="K13" s="148"/>
      <c r="L13" s="148"/>
      <c r="M13" s="148"/>
      <c r="N13" s="148"/>
      <c r="O13" s="148"/>
      <c r="P13" s="148"/>
      <c r="Q13" s="148"/>
      <c r="R13" s="148"/>
      <c r="S13" s="148"/>
      <c r="T13" s="148"/>
      <c r="U13" s="148"/>
      <c r="V13" s="148"/>
      <c r="W13" s="148"/>
      <c r="X13" s="559"/>
    </row>
    <row r="14" spans="1:24">
      <c r="A14" s="565"/>
      <c r="B14" s="148"/>
      <c r="C14" s="148"/>
      <c r="D14" s="148"/>
      <c r="E14" s="148"/>
      <c r="F14" s="148"/>
      <c r="G14" s="148"/>
      <c r="H14" s="148"/>
      <c r="I14" s="148"/>
      <c r="J14" s="148"/>
      <c r="K14" s="148"/>
      <c r="L14" s="148"/>
      <c r="M14" s="148"/>
      <c r="N14" s="148"/>
      <c r="O14" s="148"/>
      <c r="P14" s="148"/>
      <c r="Q14" s="148"/>
      <c r="R14" s="148"/>
      <c r="S14" s="148"/>
      <c r="T14" s="148"/>
      <c r="U14" s="148"/>
      <c r="V14" s="148"/>
      <c r="W14" s="148"/>
      <c r="X14" s="559"/>
    </row>
    <row r="15" spans="1:24">
      <c r="A15" s="560"/>
      <c r="B15" s="296" t="s">
        <v>392</v>
      </c>
      <c r="C15" s="148"/>
      <c r="D15" s="393">
        <f>Depreciation!$B$40</f>
        <v>173977.94999999998</v>
      </c>
      <c r="E15" s="393">
        <f>Depreciation!$B$40</f>
        <v>173977.94999999998</v>
      </c>
      <c r="F15" s="393">
        <f>Depreciation!$B$40</f>
        <v>173977.94999999998</v>
      </c>
      <c r="G15" s="393">
        <f>Depreciation!$B$40</f>
        <v>173977.94999999998</v>
      </c>
      <c r="H15" s="393">
        <f>Depreciation!$B$40</f>
        <v>173977.94999999998</v>
      </c>
      <c r="I15" s="393">
        <f>Depreciation!$B$40</f>
        <v>173977.94999999998</v>
      </c>
      <c r="J15" s="393">
        <f>Depreciation!$B$40</f>
        <v>173977.94999999998</v>
      </c>
      <c r="K15" s="393">
        <f>Depreciation!$B$40</f>
        <v>173977.94999999998</v>
      </c>
      <c r="L15" s="393">
        <f>Depreciation!$B$40</f>
        <v>173977.94999999998</v>
      </c>
      <c r="M15" s="393">
        <f>Depreciation!$B$40</f>
        <v>173977.94999999998</v>
      </c>
      <c r="N15" s="393">
        <f>Depreciation!$B$40</f>
        <v>173977.94999999998</v>
      </c>
      <c r="O15" s="393">
        <f>Depreciation!$B$40</f>
        <v>173977.94999999998</v>
      </c>
      <c r="P15" s="393">
        <f>Depreciation!$B$40</f>
        <v>173977.94999999998</v>
      </c>
      <c r="Q15" s="393">
        <f>Depreciation!$B$40</f>
        <v>173977.94999999998</v>
      </c>
      <c r="R15" s="393">
        <f>Depreciation!$B$40</f>
        <v>173977.94999999998</v>
      </c>
      <c r="S15" s="393">
        <f>Depreciation!$B$40</f>
        <v>173977.94999999998</v>
      </c>
      <c r="T15" s="393">
        <f>Depreciation!$B$40</f>
        <v>173977.94999999998</v>
      </c>
      <c r="U15" s="393">
        <f>Depreciation!$B$40</f>
        <v>173977.94999999998</v>
      </c>
      <c r="V15" s="393">
        <f>Depreciation!$B$40</f>
        <v>173977.94999999998</v>
      </c>
      <c r="W15" s="393">
        <f>Depreciation!$B$40</f>
        <v>173977.94999999998</v>
      </c>
      <c r="X15" s="394">
        <f>Depreciation!$B$40</f>
        <v>173977.94999999998</v>
      </c>
    </row>
    <row r="16" spans="1:24">
      <c r="A16" s="560"/>
      <c r="B16" s="296" t="s">
        <v>393</v>
      </c>
      <c r="C16" s="148"/>
      <c r="D16" s="566">
        <f>SUM(Depreciation!$D$40:D40)</f>
        <v>3246.9725341666667</v>
      </c>
      <c r="E16" s="566">
        <f>SUM(Depreciation!$D$40:E40)</f>
        <v>8813.211164166667</v>
      </c>
      <c r="F16" s="566">
        <f>SUM(Depreciation!$D$40:F40)</f>
        <v>14379.449794166667</v>
      </c>
      <c r="G16" s="566">
        <f>SUM(Depreciation!$D$40:G40)</f>
        <v>19945.688424166667</v>
      </c>
      <c r="H16" s="566">
        <f>SUM(Depreciation!$D$40:H40)</f>
        <v>25511.927054166666</v>
      </c>
      <c r="I16" s="566">
        <f>SUM(Depreciation!$D$40:I40)</f>
        <v>30840.096967500001</v>
      </c>
      <c r="J16" s="566">
        <f>SUM(Depreciation!$D$40:J40)</f>
        <v>35998.217797500001</v>
      </c>
      <c r="K16" s="566">
        <f>SUM(Depreciation!$D$40:K40)</f>
        <v>41156.338627500001</v>
      </c>
      <c r="L16" s="566">
        <f>SUM(Depreciation!$D$40:L40)</f>
        <v>46314.459457500001</v>
      </c>
      <c r="M16" s="566">
        <f>SUM(Depreciation!$D$40:M40)</f>
        <v>51472.580287500001</v>
      </c>
      <c r="N16" s="566">
        <f>SUM(Depreciation!$D$40:N40)</f>
        <v>56630.701117500001</v>
      </c>
      <c r="O16" s="566">
        <f>SUM(Depreciation!$D$40:O40)</f>
        <v>61788.821947500001</v>
      </c>
      <c r="P16" s="566">
        <f>SUM(Depreciation!$D$40:P40)</f>
        <v>66946.942777499993</v>
      </c>
      <c r="Q16" s="566">
        <f>SUM(Depreciation!$D$40:Q40)</f>
        <v>72105.063607499993</v>
      </c>
      <c r="R16" s="566">
        <f>SUM(Depreciation!$D$40:R40)</f>
        <v>77263.184437499993</v>
      </c>
      <c r="S16" s="566">
        <f>SUM(Depreciation!$D$40:S40)</f>
        <v>82421.305267499993</v>
      </c>
      <c r="T16" s="566">
        <f>SUM(Depreciation!$D$40:T40)</f>
        <v>87579.426097499992</v>
      </c>
      <c r="U16" s="566">
        <f>SUM(Depreciation!$D$40:U40)</f>
        <v>92737.546927499992</v>
      </c>
      <c r="V16" s="566">
        <f>SUM(Depreciation!$D$40:V40)</f>
        <v>97895.667757499992</v>
      </c>
      <c r="W16" s="566">
        <f>SUM(Depreciation!$D$40:W40)</f>
        <v>103053.78858749999</v>
      </c>
      <c r="X16" s="567">
        <f>SUM(Depreciation!$D$40:X40)</f>
        <v>108211.90941749999</v>
      </c>
    </row>
    <row r="17" spans="1:24">
      <c r="A17" s="560"/>
      <c r="B17" s="296" t="s">
        <v>394</v>
      </c>
      <c r="C17" s="148"/>
      <c r="D17" s="393">
        <f>D15-D16</f>
        <v>170730.9774658333</v>
      </c>
      <c r="E17" s="393">
        <f t="shared" ref="E17:X17" si="1">E15-E16</f>
        <v>165164.73883583333</v>
      </c>
      <c r="F17" s="393">
        <f t="shared" si="1"/>
        <v>159598.50020583332</v>
      </c>
      <c r="G17" s="393">
        <f t="shared" si="1"/>
        <v>154032.26157583331</v>
      </c>
      <c r="H17" s="393">
        <f t="shared" si="1"/>
        <v>148466.02294583331</v>
      </c>
      <c r="I17" s="393">
        <f t="shared" si="1"/>
        <v>143137.85303249999</v>
      </c>
      <c r="J17" s="393">
        <f t="shared" si="1"/>
        <v>137979.73220249999</v>
      </c>
      <c r="K17" s="393">
        <f t="shared" si="1"/>
        <v>132821.61137249999</v>
      </c>
      <c r="L17" s="393">
        <f t="shared" si="1"/>
        <v>127663.49054249999</v>
      </c>
      <c r="M17" s="393">
        <f t="shared" si="1"/>
        <v>122505.36971249999</v>
      </c>
      <c r="N17" s="393">
        <f t="shared" si="1"/>
        <v>117347.24888249999</v>
      </c>
      <c r="O17" s="393">
        <f t="shared" si="1"/>
        <v>112189.12805249999</v>
      </c>
      <c r="P17" s="393">
        <f t="shared" si="1"/>
        <v>107031.00722249999</v>
      </c>
      <c r="Q17" s="393">
        <f t="shared" si="1"/>
        <v>101872.88639249999</v>
      </c>
      <c r="R17" s="393">
        <f t="shared" si="1"/>
        <v>96714.76556249999</v>
      </c>
      <c r="S17" s="393">
        <f t="shared" si="1"/>
        <v>91556.64473249999</v>
      </c>
      <c r="T17" s="393">
        <f t="shared" si="1"/>
        <v>86398.52390249999</v>
      </c>
      <c r="U17" s="393">
        <f t="shared" si="1"/>
        <v>81240.40307249999</v>
      </c>
      <c r="V17" s="393">
        <f t="shared" si="1"/>
        <v>76082.28224249999</v>
      </c>
      <c r="W17" s="393">
        <f t="shared" si="1"/>
        <v>70924.161412499991</v>
      </c>
      <c r="X17" s="394">
        <f t="shared" si="1"/>
        <v>65766.040582499991</v>
      </c>
    </row>
    <row r="18" spans="1:24">
      <c r="A18" s="560"/>
      <c r="B18" s="296" t="s">
        <v>395</v>
      </c>
      <c r="C18" s="148"/>
      <c r="D18" s="148">
        <f>'Project Assumptions'!$C$25</f>
        <v>369.041</v>
      </c>
      <c r="E18" s="148">
        <f>'Project Assumptions'!$C$25</f>
        <v>369.041</v>
      </c>
      <c r="F18" s="148">
        <f>'Project Assumptions'!$C$25</f>
        <v>369.041</v>
      </c>
      <c r="G18" s="148">
        <f>'Project Assumptions'!$C$25</f>
        <v>369.041</v>
      </c>
      <c r="H18" s="148">
        <f>'Project Assumptions'!$C$25</f>
        <v>369.041</v>
      </c>
      <c r="I18" s="148">
        <f>'Project Assumptions'!$C$25</f>
        <v>369.041</v>
      </c>
      <c r="J18" s="148">
        <f>'Project Assumptions'!$C$25</f>
        <v>369.041</v>
      </c>
      <c r="K18" s="148">
        <f>'Project Assumptions'!$C$25</f>
        <v>369.041</v>
      </c>
      <c r="L18" s="148">
        <f>'Project Assumptions'!$C$25</f>
        <v>369.041</v>
      </c>
      <c r="M18" s="148">
        <f>'Project Assumptions'!$C$25</f>
        <v>369.041</v>
      </c>
      <c r="N18" s="148">
        <f>'Project Assumptions'!$C$25</f>
        <v>369.041</v>
      </c>
      <c r="O18" s="148">
        <f>'Project Assumptions'!$C$25</f>
        <v>369.041</v>
      </c>
      <c r="P18" s="148">
        <f>'Project Assumptions'!$C$25</f>
        <v>369.041</v>
      </c>
      <c r="Q18" s="148">
        <f>'Project Assumptions'!$C$25</f>
        <v>369.041</v>
      </c>
      <c r="R18" s="148">
        <f>'Project Assumptions'!$C$25</f>
        <v>369.041</v>
      </c>
      <c r="S18" s="148">
        <f>'Project Assumptions'!$C$25</f>
        <v>369.041</v>
      </c>
      <c r="T18" s="148">
        <f>'Project Assumptions'!$C$25</f>
        <v>369.041</v>
      </c>
      <c r="U18" s="148">
        <f>'Project Assumptions'!$C$25</f>
        <v>369.041</v>
      </c>
      <c r="V18" s="148">
        <f>'Project Assumptions'!$C$25</f>
        <v>369.041</v>
      </c>
      <c r="W18" s="148">
        <f>'Project Assumptions'!$C$25</f>
        <v>369.041</v>
      </c>
      <c r="X18" s="559">
        <f>'Project Assumptions'!$C$25</f>
        <v>369.041</v>
      </c>
    </row>
    <row r="19" spans="1:24">
      <c r="A19" s="560"/>
      <c r="B19" s="296" t="s">
        <v>396</v>
      </c>
      <c r="C19" s="148"/>
      <c r="D19" s="563">
        <v>0</v>
      </c>
      <c r="E19" s="563">
        <v>0</v>
      </c>
      <c r="F19" s="563">
        <v>0</v>
      </c>
      <c r="G19" s="563">
        <v>0</v>
      </c>
      <c r="H19" s="563">
        <v>0</v>
      </c>
      <c r="I19" s="563">
        <v>0</v>
      </c>
      <c r="J19" s="563">
        <v>0</v>
      </c>
      <c r="K19" s="563">
        <v>0</v>
      </c>
      <c r="L19" s="563">
        <v>0</v>
      </c>
      <c r="M19" s="563">
        <v>0</v>
      </c>
      <c r="N19" s="563">
        <v>0</v>
      </c>
      <c r="O19" s="563">
        <v>0</v>
      </c>
      <c r="P19" s="563">
        <v>0</v>
      </c>
      <c r="Q19" s="563">
        <v>0</v>
      </c>
      <c r="R19" s="563">
        <v>0</v>
      </c>
      <c r="S19" s="563">
        <v>0</v>
      </c>
      <c r="T19" s="563">
        <v>0</v>
      </c>
      <c r="U19" s="563">
        <v>0</v>
      </c>
      <c r="V19" s="563">
        <v>0</v>
      </c>
      <c r="W19" s="563">
        <v>0</v>
      </c>
      <c r="X19" s="564">
        <v>0</v>
      </c>
    </row>
    <row r="20" spans="1:24">
      <c r="A20" s="565"/>
      <c r="B20" s="148"/>
      <c r="C20" s="148"/>
      <c r="D20" s="148"/>
      <c r="E20" s="148"/>
      <c r="F20" s="148"/>
      <c r="G20" s="148"/>
      <c r="H20" s="148"/>
      <c r="I20" s="148"/>
      <c r="J20" s="148"/>
      <c r="K20" s="148"/>
      <c r="L20" s="148"/>
      <c r="M20" s="148"/>
      <c r="N20" s="148"/>
      <c r="O20" s="148"/>
      <c r="P20" s="148"/>
      <c r="Q20" s="148"/>
      <c r="R20" s="148"/>
      <c r="S20" s="148"/>
      <c r="T20" s="148"/>
      <c r="U20" s="148"/>
      <c r="V20" s="148"/>
      <c r="W20" s="148"/>
      <c r="X20" s="559"/>
    </row>
    <row r="21" spans="1:24">
      <c r="A21" s="568" t="s">
        <v>397</v>
      </c>
      <c r="B21" s="551"/>
      <c r="C21" s="551"/>
      <c r="D21" s="569">
        <f>D12+SUM(D17:D19)</f>
        <v>173465.3516658333</v>
      </c>
      <c r="E21" s="569">
        <f t="shared" ref="E21:X21" si="2">E12+SUM(E17:E19)</f>
        <v>170335.40623183333</v>
      </c>
      <c r="F21" s="569">
        <f t="shared" si="2"/>
        <v>167278.54959371331</v>
      </c>
      <c r="G21" s="569">
        <f t="shared" si="2"/>
        <v>161936.90399573118</v>
      </c>
      <c r="H21" s="569">
        <f t="shared" si="2"/>
        <v>159032.86872091668</v>
      </c>
      <c r="I21" s="569">
        <f t="shared" si="2"/>
        <v>156446.7682634244</v>
      </c>
      <c r="J21" s="569">
        <f t="shared" si="2"/>
        <v>146191.1621661729</v>
      </c>
      <c r="K21" s="569">
        <f t="shared" si="2"/>
        <v>143942.10282187469</v>
      </c>
      <c r="L21" s="569">
        <f t="shared" si="2"/>
        <v>141780.31532214751</v>
      </c>
      <c r="M21" s="569">
        <f t="shared" si="2"/>
        <v>132539.79045794491</v>
      </c>
      <c r="N21" s="569">
        <f t="shared" si="2"/>
        <v>130560.47965803136</v>
      </c>
      <c r="O21" s="569">
        <f t="shared" si="2"/>
        <v>128676.5331590204</v>
      </c>
      <c r="P21" s="569">
        <f t="shared" si="2"/>
        <v>126890.8118899391</v>
      </c>
      <c r="Q21" s="569">
        <f t="shared" si="2"/>
        <v>94686.288977545686</v>
      </c>
      <c r="R21" s="569">
        <f t="shared" si="2"/>
        <v>93105.946841724333</v>
      </c>
      <c r="S21" s="569">
        <f t="shared" si="2"/>
        <v>91632.938066728355</v>
      </c>
      <c r="T21" s="569">
        <f t="shared" si="2"/>
        <v>86804.639676052931</v>
      </c>
      <c r="U21" s="569">
        <f t="shared" si="2"/>
        <v>85556.054225206695</v>
      </c>
      <c r="V21" s="569">
        <f t="shared" si="2"/>
        <v>84424.754835735061</v>
      </c>
      <c r="W21" s="569">
        <f t="shared" si="2"/>
        <v>50553.073984738396</v>
      </c>
      <c r="X21" s="570">
        <f t="shared" si="2"/>
        <v>49667.008020994952</v>
      </c>
    </row>
    <row r="22" spans="1:24">
      <c r="A22" s="250"/>
    </row>
    <row r="23" spans="1:24">
      <c r="A23" s="571" t="s">
        <v>398</v>
      </c>
      <c r="B23" s="549"/>
      <c r="C23" s="549"/>
      <c r="D23" s="549"/>
      <c r="E23" s="549"/>
      <c r="F23" s="549"/>
      <c r="G23" s="549"/>
      <c r="H23" s="549"/>
      <c r="I23" s="549"/>
      <c r="J23" s="549"/>
      <c r="K23" s="549"/>
      <c r="L23" s="549"/>
      <c r="M23" s="549"/>
      <c r="N23" s="549"/>
      <c r="O23" s="549"/>
      <c r="P23" s="549"/>
      <c r="Q23" s="549"/>
      <c r="R23" s="549"/>
      <c r="S23" s="549"/>
      <c r="T23" s="549"/>
      <c r="U23" s="549"/>
      <c r="V23" s="549"/>
      <c r="W23" s="549"/>
      <c r="X23" s="550"/>
    </row>
    <row r="24" spans="1:24">
      <c r="A24" s="560"/>
      <c r="B24" s="296" t="s">
        <v>399</v>
      </c>
      <c r="C24" s="148"/>
      <c r="D24" s="572">
        <f>'Maintenance Reserves'!D13</f>
        <v>2365.3332</v>
      </c>
      <c r="E24" s="572">
        <f>'Maintenance Reserves'!E13</f>
        <v>4801.6263959999997</v>
      </c>
      <c r="F24" s="572">
        <f>'Maintenance Reserves'!F13</f>
        <v>7311.0083878799996</v>
      </c>
      <c r="G24" s="572">
        <f>'Maintenance Reserves'!G13</f>
        <v>7535.6014198978792</v>
      </c>
      <c r="H24" s="572">
        <f>'Maintenance Reserves'!H13</f>
        <v>10197.80477508337</v>
      </c>
      <c r="I24" s="572">
        <f>'Maintenance Reserves'!I13</f>
        <v>12939.874230924426</v>
      </c>
      <c r="J24" s="572">
        <f>'Maintenance Reserves'!J13</f>
        <v>7842.3889636729236</v>
      </c>
      <c r="K24" s="572">
        <f>'Maintenance Reserves'!K13</f>
        <v>10751.450449374701</v>
      </c>
      <c r="L24" s="572">
        <f>'Maintenance Reserves'!L13</f>
        <v>13747.783779647531</v>
      </c>
      <c r="M24" s="572">
        <f>'Maintenance Reserves'!M13</f>
        <v>9665.379745444925</v>
      </c>
      <c r="N24" s="572">
        <f>'Maintenance Reserves'!N13</f>
        <v>12844.189775531371</v>
      </c>
      <c r="O24" s="572">
        <f>'Maintenance Reserves'!O13</f>
        <v>16118.36410652041</v>
      </c>
      <c r="P24" s="572">
        <f>'Maintenance Reserves'!P13</f>
        <v>19490.763667439118</v>
      </c>
      <c r="Q24" s="572">
        <f>'Maintenance Reserves'!Q13</f>
        <v>-7555.6384149543082</v>
      </c>
      <c r="R24" s="572">
        <f>'Maintenance Reserves'!R13</f>
        <v>-3977.8597207756488</v>
      </c>
      <c r="S24" s="572">
        <f>'Maintenance Reserves'!S13</f>
        <v>-292.74766577163064</v>
      </c>
      <c r="T24" s="572">
        <f>'Maintenance Reserves'!T13</f>
        <v>37.07477355293895</v>
      </c>
      <c r="U24" s="572">
        <f>'Maintenance Reserves'!U13</f>
        <v>3946.6101527067021</v>
      </c>
      <c r="V24" s="572">
        <f>'Maintenance Reserves'!V13</f>
        <v>7973.4315932350783</v>
      </c>
      <c r="W24" s="572">
        <f>'Maintenance Reserves'!W13</f>
        <v>-20740.128427761592</v>
      </c>
      <c r="X24" s="573">
        <f>'Maintenance Reserves'!X13</f>
        <v>-16468.07356150504</v>
      </c>
    </row>
    <row r="25" spans="1:24">
      <c r="A25" s="560"/>
      <c r="B25" s="296" t="s">
        <v>400</v>
      </c>
      <c r="C25" s="148"/>
      <c r="D25" s="148"/>
      <c r="E25" s="148"/>
      <c r="F25" s="148"/>
      <c r="G25" s="148"/>
      <c r="H25" s="148"/>
      <c r="I25" s="148"/>
      <c r="J25" s="148"/>
      <c r="K25" s="148"/>
      <c r="L25" s="148"/>
      <c r="M25" s="148"/>
      <c r="N25" s="148"/>
      <c r="O25" s="148"/>
      <c r="P25" s="148"/>
      <c r="Q25" s="148"/>
      <c r="R25" s="148"/>
      <c r="S25" s="148"/>
      <c r="T25" s="148"/>
      <c r="U25" s="148"/>
      <c r="V25" s="148"/>
      <c r="W25" s="148"/>
      <c r="X25" s="559"/>
    </row>
    <row r="26" spans="1:24">
      <c r="A26" s="560"/>
      <c r="B26" s="296" t="s">
        <v>401</v>
      </c>
      <c r="C26" s="148"/>
      <c r="D26" s="393">
        <f>'Tax Calculations'!D59</f>
        <v>38.675662894476631</v>
      </c>
      <c r="E26" s="393">
        <f>'Tax Calculations'!E59</f>
        <v>2835.3688822708987</v>
      </c>
      <c r="F26" s="393">
        <f>'Tax Calculations'!F59</f>
        <v>5746.9284300279842</v>
      </c>
      <c r="G26" s="393">
        <f>'Tax Calculations'!G59</f>
        <v>10865.168130684804</v>
      </c>
      <c r="H26" s="393">
        <f>'Tax Calculations'!H59</f>
        <v>16852.59976441646</v>
      </c>
      <c r="I26" s="393">
        <f>'Tax Calculations'!I59</f>
        <v>19094.162184292549</v>
      </c>
      <c r="J26" s="393">
        <f>'Tax Calculations'!J59</f>
        <v>21106.710486967673</v>
      </c>
      <c r="K26" s="393">
        <f>'Tax Calculations'!K59</f>
        <v>23126.19861137616</v>
      </c>
      <c r="L26" s="393">
        <f>'Tax Calculations'!L59</f>
        <v>25138.746914051284</v>
      </c>
      <c r="M26" s="393">
        <f>'Tax Calculations'!M59</f>
        <v>27158.23503845977</v>
      </c>
      <c r="N26" s="393">
        <f>'Tax Calculations'!N59</f>
        <v>29170.783341134895</v>
      </c>
      <c r="O26" s="393">
        <f>'Tax Calculations'!O59</f>
        <v>31190.271465543381</v>
      </c>
      <c r="P26" s="393">
        <f>'Tax Calculations'!P59</f>
        <v>33202.819768218505</v>
      </c>
      <c r="Q26" s="393">
        <f>'Tax Calculations'!Q59</f>
        <v>35222.307892626995</v>
      </c>
      <c r="R26" s="393">
        <f>'Tax Calculations'!R59</f>
        <v>37234.85619530212</v>
      </c>
      <c r="S26" s="393">
        <f>'Tax Calculations'!S59</f>
        <v>37200.157086635307</v>
      </c>
      <c r="T26" s="393">
        <f>'Tax Calculations'!T59</f>
        <v>35118.210566626556</v>
      </c>
      <c r="U26" s="393">
        <f>'Tax Calculations'!U59</f>
        <v>33036.264046617805</v>
      </c>
      <c r="V26" s="393">
        <f>'Tax Calculations'!V59</f>
        <v>30954.317526609055</v>
      </c>
      <c r="W26" s="393">
        <f>'Tax Calculations'!W59</f>
        <v>28872.371006600304</v>
      </c>
      <c r="X26" s="394">
        <f>'Tax Calculations'!X59</f>
        <v>26790.424486591553</v>
      </c>
    </row>
    <row r="27" spans="1:24">
      <c r="A27" s="560"/>
      <c r="B27" s="296" t="s">
        <v>402</v>
      </c>
      <c r="C27" s="148"/>
      <c r="D27" s="148"/>
      <c r="E27" s="148"/>
      <c r="F27" s="148"/>
      <c r="G27" s="148"/>
      <c r="H27" s="148"/>
      <c r="I27" s="148"/>
      <c r="J27" s="148"/>
      <c r="K27" s="148"/>
      <c r="L27" s="148"/>
      <c r="M27" s="148"/>
      <c r="N27" s="148"/>
      <c r="O27" s="148"/>
      <c r="P27" s="148"/>
      <c r="Q27" s="148"/>
      <c r="R27" s="148"/>
      <c r="S27" s="148"/>
      <c r="T27" s="148"/>
      <c r="U27" s="148"/>
      <c r="V27" s="148"/>
      <c r="W27" s="148"/>
      <c r="X27" s="559"/>
    </row>
    <row r="28" spans="1:24">
      <c r="A28" s="560"/>
      <c r="B28" s="296" t="s">
        <v>403</v>
      </c>
      <c r="C28" s="148"/>
      <c r="D28" s="393">
        <f>'Debt Amortization'!E55</f>
        <v>125546.12495999999</v>
      </c>
      <c r="E28" s="393">
        <f>'Debt Amortization'!F55</f>
        <v>120315.03641999997</v>
      </c>
      <c r="F28" s="393">
        <f>'Debt Amortization'!G55</f>
        <v>113122.28967749997</v>
      </c>
      <c r="G28" s="393">
        <f>'Debt Amortization'!H55</f>
        <v>103967.88473249998</v>
      </c>
      <c r="H28" s="393">
        <f>'Debt Amortization'!I55</f>
        <v>98632.17442169998</v>
      </c>
      <c r="I28" s="393">
        <f>'Debt Amortization'!J55</f>
        <v>93296.464110899993</v>
      </c>
      <c r="J28" s="393">
        <f>'Debt Amortization'!K55</f>
        <v>87254.556847200001</v>
      </c>
      <c r="K28" s="393">
        <f>'Debt Amortization'!L55</f>
        <v>81212.649583499995</v>
      </c>
      <c r="L28" s="393">
        <f>'Debt Amortization'!M55</f>
        <v>71247.425914799998</v>
      </c>
      <c r="M28" s="393">
        <f>'Debt Amortization'!N55</f>
        <v>58614.347090699994</v>
      </c>
      <c r="N28" s="393">
        <f>'Debt Amortization'!O55</f>
        <v>55789.559279099994</v>
      </c>
      <c r="O28" s="393">
        <f>'Debt Amortization'!P55</f>
        <v>52258.574514599997</v>
      </c>
      <c r="P28" s="393">
        <f>'Debt Amortization'!Q55</f>
        <v>48727.5897501</v>
      </c>
      <c r="Q28" s="393">
        <f>'Debt Amortization'!R55</f>
        <v>45196.604985600003</v>
      </c>
      <c r="R28" s="393">
        <f>'Debt Amortization'!S55</f>
        <v>41665.620221100005</v>
      </c>
      <c r="S28" s="393">
        <f>'Debt Amortization'!T55</f>
        <v>38134.635456600008</v>
      </c>
      <c r="T28" s="393">
        <f>'Debt Amortization'!U55</f>
        <v>31072.66592760001</v>
      </c>
      <c r="U28" s="393">
        <f>'Debt Amortization'!V55</f>
        <v>22598.302492800012</v>
      </c>
      <c r="V28" s="393">
        <f>'Debt Amortization'!W55</f>
        <v>12005.348199300015</v>
      </c>
      <c r="W28" s="393">
        <f>'Debt Amortization'!X55</f>
        <v>1.6370904631912708E-11</v>
      </c>
      <c r="X28" s="394">
        <f>'Debt Amortization'!Y55</f>
        <v>1.6370904631912708E-11</v>
      </c>
    </row>
    <row r="29" spans="1:24">
      <c r="A29" s="560"/>
      <c r="B29" s="296" t="s">
        <v>404</v>
      </c>
      <c r="C29" s="148"/>
      <c r="D29" s="563">
        <v>0</v>
      </c>
      <c r="E29" s="563">
        <v>0</v>
      </c>
      <c r="F29" s="563">
        <v>0</v>
      </c>
      <c r="G29" s="563">
        <v>0</v>
      </c>
      <c r="H29" s="563">
        <v>0</v>
      </c>
      <c r="I29" s="563">
        <v>0</v>
      </c>
      <c r="J29" s="563">
        <v>0</v>
      </c>
      <c r="K29" s="563">
        <v>0</v>
      </c>
      <c r="L29" s="563">
        <v>0</v>
      </c>
      <c r="M29" s="563">
        <v>0</v>
      </c>
      <c r="N29" s="563">
        <v>0</v>
      </c>
      <c r="O29" s="563">
        <v>0</v>
      </c>
      <c r="P29" s="563">
        <v>0</v>
      </c>
      <c r="Q29" s="563">
        <v>0</v>
      </c>
      <c r="R29" s="563">
        <v>0</v>
      </c>
      <c r="S29" s="563">
        <v>0</v>
      </c>
      <c r="T29" s="563">
        <v>0</v>
      </c>
      <c r="U29" s="563">
        <v>0</v>
      </c>
      <c r="V29" s="563">
        <v>0</v>
      </c>
      <c r="W29" s="563">
        <v>0</v>
      </c>
      <c r="X29" s="564">
        <v>0</v>
      </c>
    </row>
    <row r="30" spans="1:24">
      <c r="A30" s="574" t="s">
        <v>405</v>
      </c>
      <c r="B30" s="148"/>
      <c r="C30" s="148"/>
      <c r="D30" s="393">
        <f>SUM(D24:D29)</f>
        <v>127950.13382289447</v>
      </c>
      <c r="E30" s="393">
        <f t="shared" ref="E30:X30" si="3">SUM(E24:E29)</f>
        <v>127952.03169827088</v>
      </c>
      <c r="F30" s="393">
        <f t="shared" si="3"/>
        <v>126180.22649540796</v>
      </c>
      <c r="G30" s="393">
        <f t="shared" si="3"/>
        <v>122368.65428308267</v>
      </c>
      <c r="H30" s="393">
        <f t="shared" si="3"/>
        <v>125682.57896119982</v>
      </c>
      <c r="I30" s="393">
        <f t="shared" si="3"/>
        <v>125330.50052611697</v>
      </c>
      <c r="J30" s="393">
        <f t="shared" si="3"/>
        <v>116203.6562978406</v>
      </c>
      <c r="K30" s="393">
        <f t="shared" si="3"/>
        <v>115090.29864425086</v>
      </c>
      <c r="L30" s="393">
        <f t="shared" si="3"/>
        <v>110133.95660849882</v>
      </c>
      <c r="M30" s="393">
        <f t="shared" si="3"/>
        <v>95437.961874604691</v>
      </c>
      <c r="N30" s="393">
        <f t="shared" si="3"/>
        <v>97804.532395766262</v>
      </c>
      <c r="O30" s="393">
        <f t="shared" si="3"/>
        <v>99567.210086663792</v>
      </c>
      <c r="P30" s="393">
        <f t="shared" si="3"/>
        <v>101421.17318575762</v>
      </c>
      <c r="Q30" s="393">
        <f t="shared" si="3"/>
        <v>72863.274463272683</v>
      </c>
      <c r="R30" s="393">
        <f t="shared" si="3"/>
        <v>74922.616695626479</v>
      </c>
      <c r="S30" s="393">
        <f t="shared" si="3"/>
        <v>75042.04487746369</v>
      </c>
      <c r="T30" s="393">
        <f t="shared" si="3"/>
        <v>66227.951267779499</v>
      </c>
      <c r="U30" s="393">
        <f t="shared" si="3"/>
        <v>59581.176692124514</v>
      </c>
      <c r="V30" s="393">
        <f t="shared" si="3"/>
        <v>50933.097319144152</v>
      </c>
      <c r="W30" s="393">
        <f t="shared" si="3"/>
        <v>8132.2425788387282</v>
      </c>
      <c r="X30" s="394">
        <f t="shared" si="3"/>
        <v>10322.35092508653</v>
      </c>
    </row>
    <row r="31" spans="1:24">
      <c r="A31" s="565"/>
      <c r="B31" s="148"/>
      <c r="C31" s="148"/>
      <c r="D31" s="148"/>
      <c r="E31" s="148"/>
      <c r="F31" s="148"/>
      <c r="G31" s="148"/>
      <c r="H31" s="148"/>
      <c r="I31" s="148"/>
      <c r="J31" s="148"/>
      <c r="K31" s="148"/>
      <c r="L31" s="148"/>
      <c r="M31" s="148"/>
      <c r="N31" s="148"/>
      <c r="O31" s="148"/>
      <c r="P31" s="148"/>
      <c r="Q31" s="148"/>
      <c r="R31" s="148"/>
      <c r="S31" s="148"/>
      <c r="T31" s="148"/>
      <c r="U31" s="148"/>
      <c r="V31" s="148"/>
      <c r="W31" s="148"/>
      <c r="X31" s="559"/>
    </row>
    <row r="32" spans="1:24">
      <c r="A32" s="558" t="s">
        <v>406</v>
      </c>
      <c r="B32" s="148"/>
      <c r="C32" s="148"/>
      <c r="D32" s="148"/>
      <c r="E32" s="148"/>
      <c r="F32" s="148"/>
      <c r="G32" s="148"/>
      <c r="H32" s="148"/>
      <c r="I32" s="148"/>
      <c r="J32" s="148"/>
      <c r="K32" s="148"/>
      <c r="L32" s="148"/>
      <c r="M32" s="148"/>
      <c r="N32" s="148"/>
      <c r="O32" s="148"/>
      <c r="P32" s="148"/>
      <c r="Q32" s="148"/>
      <c r="R32" s="148"/>
      <c r="S32" s="148"/>
      <c r="T32" s="148"/>
      <c r="U32" s="148"/>
      <c r="V32" s="148"/>
      <c r="W32" s="148"/>
      <c r="X32" s="559"/>
    </row>
    <row r="33" spans="1:24">
      <c r="A33" s="560"/>
      <c r="B33" s="253" t="s">
        <v>407</v>
      </c>
      <c r="C33" s="148"/>
      <c r="D33" s="393">
        <f>'Project Assumptions'!$C$8-SUM('Book Income Statement'!$D$66:D66)</f>
        <v>43569.777500000004</v>
      </c>
      <c r="E33" s="393">
        <f>'Project Assumptions'!$C$8-SUM('Book Income Statement'!$D$66:E66)</f>
        <v>43569.777500000004</v>
      </c>
      <c r="F33" s="393">
        <f>'Project Assumptions'!$C$8-SUM('Book Income Statement'!$D$66:F66)</f>
        <v>43569.777500000004</v>
      </c>
      <c r="G33" s="393">
        <f>'Project Assumptions'!$C$8-SUM('Book Income Statement'!$D$66:G66)</f>
        <v>43569.777500000004</v>
      </c>
      <c r="H33" s="393">
        <f>'Project Assumptions'!$C$8-SUM('Book Income Statement'!$D$66:H66)</f>
        <v>43569.777500000004</v>
      </c>
      <c r="I33" s="393">
        <f>'Project Assumptions'!$C$8-SUM('Book Income Statement'!$D$66:I66)</f>
        <v>43569.777500000004</v>
      </c>
      <c r="J33" s="393">
        <f>'Project Assumptions'!$C$8-SUM('Book Income Statement'!$D$66:J66)</f>
        <v>43569.777500000004</v>
      </c>
      <c r="K33" s="393">
        <f>'Project Assumptions'!$C$8-SUM('Book Income Statement'!$D$66:K66)</f>
        <v>43569.777500000004</v>
      </c>
      <c r="L33" s="393">
        <f>'Project Assumptions'!$C$8-SUM('Book Income Statement'!$D$66:L66)</f>
        <v>43569.777500000004</v>
      </c>
      <c r="M33" s="393">
        <f>'Project Assumptions'!$C$8-SUM('Book Income Statement'!$D$66:M66)</f>
        <v>43569.777500000004</v>
      </c>
      <c r="N33" s="393">
        <f>'Project Assumptions'!$C$8-SUM('Book Income Statement'!$D$66:N66)</f>
        <v>43569.777500000004</v>
      </c>
      <c r="O33" s="393">
        <f>'Project Assumptions'!$C$8-SUM('Book Income Statement'!$D$66:O66)</f>
        <v>43569.777500000004</v>
      </c>
      <c r="P33" s="393">
        <f>'Project Assumptions'!$C$8-SUM('Book Income Statement'!$D$66:P66)</f>
        <v>43569.777500000004</v>
      </c>
      <c r="Q33" s="393">
        <f>'Project Assumptions'!$C$8-SUM('Book Income Statement'!$D$66:Q66)</f>
        <v>43569.777500000004</v>
      </c>
      <c r="R33" s="393">
        <f>'Project Assumptions'!$C$8-SUM('Book Income Statement'!$D$66:R66)</f>
        <v>43569.777500000004</v>
      </c>
      <c r="S33" s="393">
        <f>'Project Assumptions'!$C$8-SUM('Book Income Statement'!$D$66:S66)</f>
        <v>43569.777500000004</v>
      </c>
      <c r="T33" s="393">
        <f>'Project Assumptions'!$C$8-SUM('Book Income Statement'!$D$66:T66)</f>
        <v>43569.777500000004</v>
      </c>
      <c r="U33" s="393">
        <f>'Project Assumptions'!$C$8-SUM('Book Income Statement'!$D$66:U66)</f>
        <v>43569.777500000004</v>
      </c>
      <c r="V33" s="393">
        <f>'Project Assumptions'!$C$8-SUM('Book Income Statement'!$D$66:V66)</f>
        <v>43569.777500000004</v>
      </c>
      <c r="W33" s="393">
        <f>'Project Assumptions'!$C$8-SUM('Book Income Statement'!$D$66:W66)</f>
        <v>43569.777500000004</v>
      </c>
      <c r="X33" s="393">
        <f>'Project Assumptions'!$C$8-SUM('Book Income Statement'!$D$66:X66)</f>
        <v>43569.777500000004</v>
      </c>
    </row>
    <row r="34" spans="1:24">
      <c r="A34" s="560"/>
      <c r="B34" s="253" t="s">
        <v>408</v>
      </c>
      <c r="C34" s="148"/>
      <c r="D34" s="575">
        <f>'Book Income Statement'!D75-'Cash Flow Statement'!D36</f>
        <v>1945.4403429388572</v>
      </c>
      <c r="E34" s="575">
        <f>'Book Income Statement'!E75-'Cash Flow Statement'!E36+D34</f>
        <v>-1186.4029664375671</v>
      </c>
      <c r="F34" s="575">
        <f>'Book Income Statement'!F75-'Cash Flow Statement'!F36+E34</f>
        <v>-2471.4544016946534</v>
      </c>
      <c r="G34" s="575">
        <f>'Book Income Statement'!G75-'Cash Flow Statement'!G36+F34</f>
        <v>-4001.5277873514765</v>
      </c>
      <c r="H34" s="575">
        <f>'Book Income Statement'!H75-'Cash Flow Statement'!H36+G34</f>
        <v>-10219.487740283128</v>
      </c>
      <c r="I34" s="575">
        <f>'Book Income Statement'!I75-'Cash Flow Statement'!I36+H34</f>
        <v>-12453.509762692545</v>
      </c>
      <c r="J34" s="575">
        <f>'Book Income Statement'!J75-'Cash Flow Statement'!J36+I34</f>
        <v>-13582.271631667671</v>
      </c>
      <c r="K34" s="575">
        <f>'Book Income Statement'!K75-'Cash Flow Statement'!K36+J34</f>
        <v>-14717.973322376158</v>
      </c>
      <c r="L34" s="575">
        <f>'Book Income Statement'!L75-'Cash Flow Statement'!L36+K34</f>
        <v>-11923.418786351283</v>
      </c>
      <c r="M34" s="575">
        <f>'Book Income Statement'!M75-'Cash Flow Statement'!M36+L34</f>
        <v>-6467.9489166597723</v>
      </c>
      <c r="N34" s="575">
        <f>'Book Income Statement'!N75-'Cash Flow Statement'!N36+M34</f>
        <v>-10813.830237734899</v>
      </c>
      <c r="O34" s="575">
        <f>'Book Income Statement'!O75-'Cash Flow Statement'!O36+N34</f>
        <v>-14460.454427643388</v>
      </c>
      <c r="P34" s="575">
        <f>'Book Income Statement'!P75-'Cash Flow Statement'!P36+O34</f>
        <v>-18100.138795818515</v>
      </c>
      <c r="Q34" s="575">
        <f>'Book Income Statement'!Q75-'Cash Flow Statement'!Q36+P34</f>
        <v>-21746.762985726993</v>
      </c>
      <c r="R34" s="575">
        <f>'Book Income Statement'!R75-'Cash Flow Statement'!R36+Q34</f>
        <v>-25386.44735390212</v>
      </c>
      <c r="S34" s="575">
        <f>'Book Income Statement'!S75-'Cash Flow Statement'!S36+R34</f>
        <v>-26978.884310735317</v>
      </c>
      <c r="T34" s="575">
        <f>'Book Income Statement'!T75-'Cash Flow Statement'!T36+S34</f>
        <v>-22993.089091726571</v>
      </c>
      <c r="U34" s="575">
        <f>'Book Income Statement'!U75-'Cash Flow Statement'!U36+T34</f>
        <v>-17594.899966917823</v>
      </c>
      <c r="V34" s="575">
        <f>'Book Income Statement'!V75-'Cash Flow Statement'!V36+U34</f>
        <v>-10078.119983409077</v>
      </c>
      <c r="W34" s="575">
        <f>'Book Income Statement'!W75-'Cash Flow Statement'!W36+V34</f>
        <v>-1148.9460941003344</v>
      </c>
      <c r="X34" s="576">
        <f>'Book Income Statement'!X75-'Cash Flow Statement'!X36+W34</f>
        <v>-4225.1204040915845</v>
      </c>
    </row>
    <row r="35" spans="1:24">
      <c r="A35" s="560"/>
      <c r="B35" s="253" t="s">
        <v>409</v>
      </c>
      <c r="C35" s="148"/>
      <c r="D35" s="566">
        <f t="shared" ref="D35:X35" si="4">SUM(D33:D34)</f>
        <v>45515.217842938859</v>
      </c>
      <c r="E35" s="566">
        <f t="shared" si="4"/>
        <v>42383.374533562433</v>
      </c>
      <c r="F35" s="566">
        <f t="shared" si="4"/>
        <v>41098.323098305351</v>
      </c>
      <c r="G35" s="566">
        <f t="shared" si="4"/>
        <v>39568.249712648525</v>
      </c>
      <c r="H35" s="566">
        <f t="shared" si="4"/>
        <v>33350.289759716878</v>
      </c>
      <c r="I35" s="566">
        <f t="shared" si="4"/>
        <v>31116.267737307458</v>
      </c>
      <c r="J35" s="566">
        <f t="shared" si="4"/>
        <v>29987.505868332333</v>
      </c>
      <c r="K35" s="566">
        <f t="shared" si="4"/>
        <v>28851.804177623846</v>
      </c>
      <c r="L35" s="566">
        <f t="shared" si="4"/>
        <v>31646.358713648719</v>
      </c>
      <c r="M35" s="566">
        <f t="shared" si="4"/>
        <v>37101.828583340233</v>
      </c>
      <c r="N35" s="566">
        <f t="shared" si="4"/>
        <v>32755.947262265105</v>
      </c>
      <c r="O35" s="566">
        <f t="shared" si="4"/>
        <v>29109.323072356616</v>
      </c>
      <c r="P35" s="566">
        <f t="shared" si="4"/>
        <v>25469.638704181489</v>
      </c>
      <c r="Q35" s="566">
        <f t="shared" si="4"/>
        <v>21823.014514273011</v>
      </c>
      <c r="R35" s="566">
        <f t="shared" si="4"/>
        <v>18183.330146097884</v>
      </c>
      <c r="S35" s="566">
        <f t="shared" si="4"/>
        <v>16590.893189264687</v>
      </c>
      <c r="T35" s="566">
        <f t="shared" si="4"/>
        <v>20576.688408273432</v>
      </c>
      <c r="U35" s="566">
        <f t="shared" si="4"/>
        <v>25974.877533082181</v>
      </c>
      <c r="V35" s="566">
        <f t="shared" si="4"/>
        <v>33491.657516590931</v>
      </c>
      <c r="W35" s="566">
        <f t="shared" si="4"/>
        <v>42420.831405899669</v>
      </c>
      <c r="X35" s="567">
        <f t="shared" si="4"/>
        <v>39344.65709590842</v>
      </c>
    </row>
    <row r="36" spans="1:24">
      <c r="A36" s="574" t="s">
        <v>410</v>
      </c>
      <c r="B36" s="148"/>
      <c r="C36" s="148"/>
      <c r="D36" s="577">
        <f t="shared" ref="D36:X36" si="5">D30+D35</f>
        <v>173465.35166583332</v>
      </c>
      <c r="E36" s="577">
        <f t="shared" si="5"/>
        <v>170335.4062318333</v>
      </c>
      <c r="F36" s="577">
        <f t="shared" si="5"/>
        <v>167278.54959371331</v>
      </c>
      <c r="G36" s="577">
        <f t="shared" si="5"/>
        <v>161936.90399573121</v>
      </c>
      <c r="H36" s="577">
        <f t="shared" si="5"/>
        <v>159032.86872091668</v>
      </c>
      <c r="I36" s="577">
        <f t="shared" si="5"/>
        <v>156446.76826342443</v>
      </c>
      <c r="J36" s="577">
        <f t="shared" si="5"/>
        <v>146191.16216617293</v>
      </c>
      <c r="K36" s="577">
        <f t="shared" si="5"/>
        <v>143942.10282187469</v>
      </c>
      <c r="L36" s="577">
        <f t="shared" si="5"/>
        <v>141780.31532214754</v>
      </c>
      <c r="M36" s="577">
        <f t="shared" si="5"/>
        <v>132539.79045794491</v>
      </c>
      <c r="N36" s="577">
        <f t="shared" si="5"/>
        <v>130560.47965803137</v>
      </c>
      <c r="O36" s="577">
        <f t="shared" si="5"/>
        <v>128676.53315902042</v>
      </c>
      <c r="P36" s="577">
        <f t="shared" si="5"/>
        <v>126890.81188993911</v>
      </c>
      <c r="Q36" s="577">
        <f t="shared" si="5"/>
        <v>94686.288977545686</v>
      </c>
      <c r="R36" s="577">
        <f t="shared" si="5"/>
        <v>93105.946841724362</v>
      </c>
      <c r="S36" s="577">
        <f t="shared" si="5"/>
        <v>91632.938066728384</v>
      </c>
      <c r="T36" s="577">
        <f t="shared" si="5"/>
        <v>86804.639676052931</v>
      </c>
      <c r="U36" s="577">
        <f t="shared" si="5"/>
        <v>85556.054225206695</v>
      </c>
      <c r="V36" s="577">
        <f t="shared" si="5"/>
        <v>84424.754835735075</v>
      </c>
      <c r="W36" s="577">
        <f t="shared" si="5"/>
        <v>50553.073984738396</v>
      </c>
      <c r="X36" s="578">
        <f t="shared" si="5"/>
        <v>49667.008020994952</v>
      </c>
    </row>
    <row r="37" spans="1:24">
      <c r="A37" s="565"/>
      <c r="B37" s="148"/>
      <c r="C37" s="148"/>
      <c r="D37" s="148"/>
      <c r="E37" s="148"/>
      <c r="F37" s="148"/>
      <c r="G37" s="148"/>
      <c r="H37" s="148"/>
      <c r="I37" s="148"/>
      <c r="J37" s="148"/>
      <c r="K37" s="148"/>
      <c r="L37" s="148"/>
      <c r="M37" s="148"/>
      <c r="N37" s="148"/>
      <c r="O37" s="148"/>
      <c r="P37" s="148"/>
      <c r="Q37" s="148"/>
      <c r="R37" s="148"/>
      <c r="S37" s="148"/>
      <c r="T37" s="148"/>
      <c r="U37" s="148"/>
      <c r="V37" s="148"/>
      <c r="W37" s="148"/>
      <c r="X37" s="559"/>
    </row>
    <row r="38" spans="1:24">
      <c r="A38" s="579" t="s">
        <v>411</v>
      </c>
      <c r="B38" s="255"/>
      <c r="C38" s="255"/>
      <c r="D38" s="304">
        <f t="shared" ref="D38:X38" si="6">IF(D3&gt;ProjectLife,0,D21-D36)</f>
        <v>-2.9103830456733704E-11</v>
      </c>
      <c r="E38" s="304">
        <f t="shared" si="6"/>
        <v>2.9103830456733704E-11</v>
      </c>
      <c r="F38" s="304">
        <f t="shared" si="6"/>
        <v>0</v>
      </c>
      <c r="G38" s="304">
        <f t="shared" si="6"/>
        <v>-2.9103830456733704E-11</v>
      </c>
      <c r="H38" s="304">
        <f t="shared" si="6"/>
        <v>0</v>
      </c>
      <c r="I38" s="304">
        <f t="shared" si="6"/>
        <v>-2.9103830456733704E-11</v>
      </c>
      <c r="J38" s="304">
        <f t="shared" si="6"/>
        <v>-2.9103830456733704E-11</v>
      </c>
      <c r="K38" s="304">
        <f t="shared" si="6"/>
        <v>0</v>
      </c>
      <c r="L38" s="304">
        <f t="shared" si="6"/>
        <v>-2.9103830456733704E-11</v>
      </c>
      <c r="M38" s="304">
        <f t="shared" si="6"/>
        <v>0</v>
      </c>
      <c r="N38" s="304">
        <f t="shared" si="6"/>
        <v>-1.4551915228366852E-11</v>
      </c>
      <c r="O38" s="304">
        <f t="shared" si="6"/>
        <v>-1.4551915228366852E-11</v>
      </c>
      <c r="P38" s="304">
        <f t="shared" si="6"/>
        <v>-1.4551915228366852E-11</v>
      </c>
      <c r="Q38" s="304">
        <f t="shared" si="6"/>
        <v>0</v>
      </c>
      <c r="R38" s="304">
        <f t="shared" si="6"/>
        <v>-2.9103830456733704E-11</v>
      </c>
      <c r="S38" s="304">
        <f t="shared" si="6"/>
        <v>-2.9103830456733704E-11</v>
      </c>
      <c r="T38" s="304">
        <f t="shared" si="6"/>
        <v>0</v>
      </c>
      <c r="U38" s="304">
        <f t="shared" si="6"/>
        <v>0</v>
      </c>
      <c r="V38" s="304">
        <f t="shared" si="6"/>
        <v>-1.4551915228366852E-11</v>
      </c>
      <c r="W38" s="304">
        <f t="shared" si="6"/>
        <v>0</v>
      </c>
      <c r="X38" s="580">
        <f t="shared" si="6"/>
        <v>0</v>
      </c>
    </row>
    <row r="42" spans="1:24">
      <c r="A42" s="403" t="s">
        <v>478</v>
      </c>
      <c r="B42" s="404"/>
      <c r="C42" s="404"/>
      <c r="D42" s="405" t="s">
        <v>479</v>
      </c>
      <c r="E42" s="404"/>
      <c r="F42" s="404"/>
      <c r="G42" s="404"/>
      <c r="H42" s="404"/>
      <c r="I42" s="404"/>
      <c r="J42" s="404"/>
      <c r="K42" s="404"/>
      <c r="L42" s="404"/>
      <c r="M42" s="404"/>
      <c r="N42" s="404"/>
      <c r="O42" s="404"/>
      <c r="P42" s="404"/>
      <c r="Q42" s="404"/>
      <c r="R42" s="404"/>
      <c r="S42" s="404"/>
      <c r="T42" s="404"/>
      <c r="U42" s="404"/>
      <c r="V42" s="404"/>
      <c r="W42" s="404"/>
      <c r="X42" s="406"/>
    </row>
    <row r="43" spans="1:24">
      <c r="A43" s="407">
        <f>(SUM(D28:X28)-SUM(D44:X44))+(SUM(D35:X35)-SUM(D45:X45))</f>
        <v>0</v>
      </c>
      <c r="B43" s="408"/>
      <c r="C43" s="408"/>
      <c r="D43" s="408"/>
      <c r="E43" s="408"/>
      <c r="F43" s="408"/>
      <c r="G43" s="408"/>
      <c r="H43" s="408"/>
      <c r="I43" s="408"/>
      <c r="J43" s="408"/>
      <c r="K43" s="408"/>
      <c r="L43" s="408"/>
      <c r="M43" s="408"/>
      <c r="N43" s="408"/>
      <c r="O43" s="408"/>
      <c r="P43" s="408"/>
      <c r="Q43" s="408"/>
      <c r="R43" s="408"/>
      <c r="S43" s="408"/>
      <c r="T43" s="408"/>
      <c r="U43" s="408"/>
      <c r="V43" s="408"/>
      <c r="W43" s="408"/>
      <c r="X43" s="409"/>
    </row>
    <row r="44" spans="1:24">
      <c r="A44" s="410"/>
      <c r="B44" s="408" t="s">
        <v>403</v>
      </c>
      <c r="C44" s="408"/>
      <c r="D44" s="411">
        <v>125546.12495999999</v>
      </c>
      <c r="E44" s="411">
        <v>120315.03641999997</v>
      </c>
      <c r="F44" s="411">
        <v>113122.28967749997</v>
      </c>
      <c r="G44" s="411">
        <v>103967.88473249998</v>
      </c>
      <c r="H44" s="411">
        <v>98632.17442169998</v>
      </c>
      <c r="I44" s="411">
        <v>93296.464110899993</v>
      </c>
      <c r="J44" s="411">
        <v>87254.556847200001</v>
      </c>
      <c r="K44" s="411">
        <v>81212.649583499995</v>
      </c>
      <c r="L44" s="411">
        <v>71247.425914799998</v>
      </c>
      <c r="M44" s="411">
        <v>58614.347090699994</v>
      </c>
      <c r="N44" s="411">
        <v>55789.559279099994</v>
      </c>
      <c r="O44" s="411">
        <v>52258.574514599997</v>
      </c>
      <c r="P44" s="411">
        <v>48727.5897501</v>
      </c>
      <c r="Q44" s="411">
        <v>45196.604985600003</v>
      </c>
      <c r="R44" s="411">
        <v>41665.620221100005</v>
      </c>
      <c r="S44" s="411">
        <v>38134.635456600008</v>
      </c>
      <c r="T44" s="411">
        <v>31072.66592760001</v>
      </c>
      <c r="U44" s="411">
        <v>22598.302492800012</v>
      </c>
      <c r="V44" s="411">
        <v>12005.348199300015</v>
      </c>
      <c r="W44" s="411">
        <v>1.6370904631912708E-11</v>
      </c>
      <c r="X44" s="412">
        <v>1.6370904631912708E-11</v>
      </c>
    </row>
    <row r="45" spans="1:24">
      <c r="A45" s="413"/>
      <c r="B45" s="414" t="s">
        <v>480</v>
      </c>
      <c r="C45" s="414"/>
      <c r="D45" s="415">
        <v>45515.217842938859</v>
      </c>
      <c r="E45" s="415">
        <v>42383.374533562433</v>
      </c>
      <c r="F45" s="415">
        <v>41098.323098305351</v>
      </c>
      <c r="G45" s="415">
        <v>39568.249712648525</v>
      </c>
      <c r="H45" s="415">
        <v>33350.289759716878</v>
      </c>
      <c r="I45" s="415">
        <v>31116.267737307458</v>
      </c>
      <c r="J45" s="415">
        <v>29987.505868332333</v>
      </c>
      <c r="K45" s="415">
        <v>28851.804177623846</v>
      </c>
      <c r="L45" s="415">
        <v>31646.358713648719</v>
      </c>
      <c r="M45" s="415">
        <v>37101.828583340233</v>
      </c>
      <c r="N45" s="415">
        <v>32755.947262265105</v>
      </c>
      <c r="O45" s="415">
        <v>29109.323072356616</v>
      </c>
      <c r="P45" s="415">
        <v>25469.638704181489</v>
      </c>
      <c r="Q45" s="415">
        <v>21823.014514273011</v>
      </c>
      <c r="R45" s="415">
        <v>18183.330146097884</v>
      </c>
      <c r="S45" s="415">
        <v>16590.893189264687</v>
      </c>
      <c r="T45" s="415">
        <v>20576.688408273432</v>
      </c>
      <c r="U45" s="415">
        <v>25974.877533082181</v>
      </c>
      <c r="V45" s="415">
        <v>33491.657516590931</v>
      </c>
      <c r="W45" s="415">
        <v>42420.831405899669</v>
      </c>
      <c r="X45" s="416">
        <v>39344.65709590842</v>
      </c>
    </row>
  </sheetData>
  <pageMargins left="0.75" right="0.75" top="1" bottom="1" header="0.5" footer="0.5"/>
  <pageSetup scale="54" orientation="landscape" r:id="rId1"/>
  <headerFooter alignWithMargins="0">
    <oddFooter>&amp;L&amp;D  &amp;T&amp;R&amp;F
&amp;A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U66"/>
  <sheetViews>
    <sheetView topLeftCell="A31" zoomScale="75" zoomScaleNormal="75" zoomScaleSheetLayoutView="85" workbookViewId="0">
      <selection activeCell="A10" sqref="A10"/>
    </sheetView>
  </sheetViews>
  <sheetFormatPr defaultColWidth="9.28515625" defaultRowHeight="11.25"/>
  <cols>
    <col min="1" max="1" width="15.85546875" style="205" customWidth="1"/>
    <col min="2" max="2" width="15" style="205" customWidth="1"/>
    <col min="3" max="32" width="9.28515625" style="205" customWidth="1"/>
    <col min="33" max="16384" width="9.28515625" style="8"/>
  </cols>
  <sheetData>
    <row r="1" spans="1:255" ht="21.75" customHeight="1">
      <c r="A1" s="501" t="str">
        <f>'Project Assumptions'!$A$2</f>
        <v>GLEASON, TN</v>
      </c>
      <c r="B1" s="581"/>
      <c r="C1" s="508"/>
      <c r="AB1" s="258"/>
      <c r="AC1" s="253"/>
    </row>
    <row r="2" spans="1:255" ht="15.6" customHeight="1">
      <c r="A2" s="503" t="s">
        <v>43</v>
      </c>
      <c r="B2" s="582"/>
      <c r="C2" s="583"/>
      <c r="D2" s="257"/>
      <c r="E2" s="257"/>
      <c r="F2" s="257"/>
      <c r="G2" s="257"/>
      <c r="H2" s="257"/>
      <c r="I2" s="257"/>
      <c r="J2" s="258"/>
      <c r="K2" s="257"/>
      <c r="L2" s="257"/>
      <c r="M2" s="257"/>
      <c r="N2" s="257"/>
      <c r="O2" s="257"/>
      <c r="P2" s="258"/>
      <c r="Q2" s="257"/>
      <c r="R2" s="257"/>
      <c r="S2" s="257"/>
      <c r="T2" s="257"/>
      <c r="U2" s="257"/>
      <c r="V2" s="258"/>
      <c r="W2" s="257"/>
      <c r="X2" s="257"/>
      <c r="Y2" s="257"/>
      <c r="Z2" s="257"/>
      <c r="AA2" s="257"/>
      <c r="AB2" s="258"/>
      <c r="AC2" s="253"/>
    </row>
    <row r="3" spans="1:255" s="1" customFormat="1" ht="12.6" customHeight="1">
      <c r="A3" s="279"/>
      <c r="B3" s="247"/>
      <c r="D3" s="257">
        <v>1</v>
      </c>
      <c r="E3" s="257">
        <f>D3+1</f>
        <v>2</v>
      </c>
      <c r="F3" s="257">
        <f t="shared" ref="F3:AB3" si="0">E3+1</f>
        <v>3</v>
      </c>
      <c r="G3" s="257">
        <f t="shared" si="0"/>
        <v>4</v>
      </c>
      <c r="H3" s="257">
        <f t="shared" si="0"/>
        <v>5</v>
      </c>
      <c r="I3" s="258">
        <f t="shared" si="0"/>
        <v>6</v>
      </c>
      <c r="J3" s="257">
        <f t="shared" si="0"/>
        <v>7</v>
      </c>
      <c r="K3" s="257">
        <f t="shared" si="0"/>
        <v>8</v>
      </c>
      <c r="L3" s="257">
        <f t="shared" si="0"/>
        <v>9</v>
      </c>
      <c r="M3" s="257">
        <f t="shared" si="0"/>
        <v>10</v>
      </c>
      <c r="N3" s="257">
        <f t="shared" si="0"/>
        <v>11</v>
      </c>
      <c r="O3" s="258">
        <f t="shared" si="0"/>
        <v>12</v>
      </c>
      <c r="P3" s="257">
        <f t="shared" si="0"/>
        <v>13</v>
      </c>
      <c r="Q3" s="257">
        <f t="shared" si="0"/>
        <v>14</v>
      </c>
      <c r="R3" s="257">
        <f t="shared" si="0"/>
        <v>15</v>
      </c>
      <c r="S3" s="257">
        <f t="shared" si="0"/>
        <v>16</v>
      </c>
      <c r="T3" s="257">
        <f t="shared" si="0"/>
        <v>17</v>
      </c>
      <c r="U3" s="258">
        <f t="shared" si="0"/>
        <v>18</v>
      </c>
      <c r="V3" s="257">
        <f t="shared" si="0"/>
        <v>19</v>
      </c>
      <c r="W3" s="257">
        <f t="shared" si="0"/>
        <v>20</v>
      </c>
      <c r="X3" s="257">
        <f t="shared" si="0"/>
        <v>21</v>
      </c>
      <c r="Y3" s="257">
        <f t="shared" si="0"/>
        <v>22</v>
      </c>
      <c r="Z3" s="257">
        <f t="shared" si="0"/>
        <v>23</v>
      </c>
      <c r="AA3" s="258">
        <f t="shared" si="0"/>
        <v>24</v>
      </c>
      <c r="AB3" s="257">
        <f t="shared" si="0"/>
        <v>25</v>
      </c>
      <c r="AC3" s="280"/>
      <c r="AD3" s="247"/>
      <c r="AE3" s="257"/>
      <c r="AF3" s="257"/>
    </row>
    <row r="4" spans="1:255" s="1" customFormat="1" ht="12.6" customHeight="1">
      <c r="A4" s="436"/>
      <c r="B4" s="437"/>
      <c r="C4" s="500"/>
      <c r="D4" s="505">
        <f>YEAR('Project Assumptions'!G16)</f>
        <v>2000</v>
      </c>
      <c r="E4" s="505">
        <f t="shared" ref="E4:AB4" si="1">D4+1</f>
        <v>2001</v>
      </c>
      <c r="F4" s="505">
        <f t="shared" si="1"/>
        <v>2002</v>
      </c>
      <c r="G4" s="505">
        <f t="shared" si="1"/>
        <v>2003</v>
      </c>
      <c r="H4" s="505">
        <f t="shared" si="1"/>
        <v>2004</v>
      </c>
      <c r="I4" s="505">
        <f t="shared" si="1"/>
        <v>2005</v>
      </c>
      <c r="J4" s="505">
        <f t="shared" si="1"/>
        <v>2006</v>
      </c>
      <c r="K4" s="505">
        <f t="shared" si="1"/>
        <v>2007</v>
      </c>
      <c r="L4" s="505">
        <f t="shared" si="1"/>
        <v>2008</v>
      </c>
      <c r="M4" s="505">
        <f t="shared" si="1"/>
        <v>2009</v>
      </c>
      <c r="N4" s="505">
        <f t="shared" si="1"/>
        <v>2010</v>
      </c>
      <c r="O4" s="505">
        <f t="shared" si="1"/>
        <v>2011</v>
      </c>
      <c r="P4" s="505">
        <f t="shared" si="1"/>
        <v>2012</v>
      </c>
      <c r="Q4" s="505">
        <f t="shared" si="1"/>
        <v>2013</v>
      </c>
      <c r="R4" s="505">
        <f t="shared" si="1"/>
        <v>2014</v>
      </c>
      <c r="S4" s="505">
        <f t="shared" si="1"/>
        <v>2015</v>
      </c>
      <c r="T4" s="505">
        <f t="shared" si="1"/>
        <v>2016</v>
      </c>
      <c r="U4" s="505">
        <f t="shared" si="1"/>
        <v>2017</v>
      </c>
      <c r="V4" s="505">
        <f t="shared" si="1"/>
        <v>2018</v>
      </c>
      <c r="W4" s="505">
        <f t="shared" si="1"/>
        <v>2019</v>
      </c>
      <c r="X4" s="505">
        <f t="shared" si="1"/>
        <v>2020</v>
      </c>
      <c r="Y4" s="505">
        <f t="shared" si="1"/>
        <v>2021</v>
      </c>
      <c r="Z4" s="505">
        <f t="shared" si="1"/>
        <v>2022</v>
      </c>
      <c r="AA4" s="505">
        <f t="shared" si="1"/>
        <v>2023</v>
      </c>
      <c r="AB4" s="506">
        <f t="shared" si="1"/>
        <v>2024</v>
      </c>
      <c r="AC4" s="259"/>
      <c r="AD4" s="247"/>
      <c r="AE4" s="259"/>
      <c r="AF4" s="259"/>
      <c r="AG4" s="32"/>
      <c r="AH4" s="32"/>
      <c r="AI4" s="32"/>
      <c r="AJ4" s="32"/>
      <c r="AK4" s="32"/>
      <c r="AL4" s="32"/>
      <c r="AM4" s="32"/>
      <c r="AN4" s="32"/>
      <c r="AO4" s="32"/>
      <c r="AP4" s="32"/>
      <c r="AQ4" s="32"/>
      <c r="AR4" s="32"/>
      <c r="AS4" s="32"/>
      <c r="AT4" s="32"/>
      <c r="AU4" s="32"/>
      <c r="AV4" s="32"/>
      <c r="AW4" s="32"/>
      <c r="AX4" s="32"/>
      <c r="AY4" s="32"/>
    </row>
    <row r="5" spans="1:255" ht="12" customHeight="1">
      <c r="A5" s="584" t="s">
        <v>174</v>
      </c>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524"/>
      <c r="AC5" s="253"/>
      <c r="AD5" s="253"/>
    </row>
    <row r="6" spans="1:255" ht="12" customHeight="1">
      <c r="A6" s="584"/>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524"/>
      <c r="AC6" s="253"/>
      <c r="AD6" s="253"/>
    </row>
    <row r="7" spans="1:255" s="31" customFormat="1" ht="12" customHeight="1">
      <c r="A7" s="585" t="s">
        <v>182</v>
      </c>
      <c r="B7" s="253"/>
      <c r="D7" s="282"/>
      <c r="E7" s="282"/>
      <c r="F7" s="282"/>
      <c r="G7" s="282"/>
      <c r="H7" s="282"/>
      <c r="I7" s="282"/>
      <c r="J7" s="282"/>
      <c r="K7" s="282"/>
      <c r="L7" s="282"/>
      <c r="M7" s="282"/>
      <c r="N7" s="282"/>
      <c r="O7" s="282"/>
      <c r="P7" s="282"/>
      <c r="Q7" s="282"/>
      <c r="R7" s="282"/>
      <c r="S7" s="282"/>
      <c r="T7" s="282"/>
      <c r="U7" s="282"/>
      <c r="V7" s="282"/>
      <c r="W7" s="282"/>
      <c r="X7" s="282"/>
      <c r="Y7" s="282"/>
      <c r="Z7" s="282"/>
      <c r="AA7" s="282"/>
      <c r="AB7" s="586"/>
      <c r="AC7" s="253"/>
      <c r="AD7" s="253"/>
      <c r="AE7" s="286"/>
      <c r="AF7" s="286"/>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row>
    <row r="8" spans="1:255" s="31" customFormat="1" ht="12" customHeight="1">
      <c r="A8" s="517" t="s">
        <v>644</v>
      </c>
      <c r="B8" s="253"/>
      <c r="D8" s="282">
        <f>BS!D44+BS!D45</f>
        <v>171061.34280293883</v>
      </c>
      <c r="E8" s="282">
        <f>BS!E44+BS!E45</f>
        <v>162698.41095356242</v>
      </c>
      <c r="F8" s="282">
        <f>BS!F44+BS!F45</f>
        <v>154220.61277580532</v>
      </c>
      <c r="G8" s="282">
        <f>BS!G44+BS!G45</f>
        <v>143536.13444514852</v>
      </c>
      <c r="H8" s="282">
        <f>BS!H44+BS!H45</f>
        <v>131982.46418141684</v>
      </c>
      <c r="I8" s="282">
        <f>BS!I44+BS!I45</f>
        <v>124412.73184820745</v>
      </c>
      <c r="J8" s="282">
        <f>BS!J44+BS!J45</f>
        <v>117242.06271553233</v>
      </c>
      <c r="K8" s="282">
        <f>BS!K44+BS!K45</f>
        <v>110064.45376112385</v>
      </c>
      <c r="L8" s="282">
        <f>BS!L44+BS!L45</f>
        <v>102893.78462844872</v>
      </c>
      <c r="M8" s="282">
        <f>BS!M44+BS!M45</f>
        <v>95716.17567404022</v>
      </c>
      <c r="N8" s="282">
        <f>BS!N44+BS!N45</f>
        <v>88545.506541365103</v>
      </c>
      <c r="O8" s="282">
        <f>BS!O44+BS!O45</f>
        <v>81367.89758695662</v>
      </c>
      <c r="P8" s="282">
        <f>BS!P44+BS!P45</f>
        <v>74197.228454281489</v>
      </c>
      <c r="Q8" s="282">
        <f>BS!Q44+BS!Q45</f>
        <v>67019.619499873021</v>
      </c>
      <c r="R8" s="282">
        <f>BS!R44+BS!R45</f>
        <v>59848.950367197889</v>
      </c>
      <c r="S8" s="282">
        <f>BS!S44+BS!S45</f>
        <v>54725.528645864695</v>
      </c>
      <c r="T8" s="282">
        <f>BS!T44+BS!T45</f>
        <v>51649.354335873446</v>
      </c>
      <c r="U8" s="282">
        <f>BS!U44+BS!U45</f>
        <v>48573.18002588219</v>
      </c>
      <c r="V8" s="282">
        <f>BS!V44+BS!V45</f>
        <v>45497.005715890948</v>
      </c>
      <c r="W8" s="282">
        <f>BS!W44+BS!W45</f>
        <v>42420.831405899684</v>
      </c>
      <c r="X8" s="282">
        <f>BS!X44+BS!X45</f>
        <v>39344.657095908435</v>
      </c>
      <c r="Y8" s="282">
        <f>BS!Y44+BS!Y45</f>
        <v>0</v>
      </c>
      <c r="Z8" s="282">
        <f>BS!Z44+BS!Z45</f>
        <v>0</v>
      </c>
      <c r="AA8" s="282">
        <f>BS!AA44+BS!AA45</f>
        <v>0</v>
      </c>
      <c r="AB8" s="586">
        <f>BS!AB44+BS!AB45</f>
        <v>0</v>
      </c>
      <c r="AC8" s="253"/>
      <c r="AD8" s="253"/>
      <c r="AE8" s="286"/>
      <c r="AF8" s="286"/>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row>
    <row r="9" spans="1:255" s="15" customFormat="1" ht="12" customHeight="1">
      <c r="A9" s="517" t="s">
        <v>183</v>
      </c>
      <c r="B9" s="253"/>
      <c r="D9" s="289">
        <f>IF(D$3&gt;'Project Assumptions'!$I$15,0,'Project Assumptions'!$N$67)</f>
        <v>0</v>
      </c>
      <c r="E9" s="289">
        <f>IF(E$3&gt;'Project Assumptions'!$I$15,0,'Project Assumptions'!$N$67)</f>
        <v>0</v>
      </c>
      <c r="F9" s="289">
        <f>IF(F$3&gt;'Project Assumptions'!$I$15,0,'Project Assumptions'!$N$67)</f>
        <v>0</v>
      </c>
      <c r="G9" s="289">
        <f>IF(G$3&gt;'Project Assumptions'!$I$15,0,'Project Assumptions'!$N$67)</f>
        <v>0</v>
      </c>
      <c r="H9" s="289">
        <f>IF(H$3&gt;'Project Assumptions'!$I$15,0,'Project Assumptions'!$N$67)</f>
        <v>0</v>
      </c>
      <c r="I9" s="289">
        <f>IF(I$3&gt;'Project Assumptions'!$I$15,0,'Project Assumptions'!$N$67)</f>
        <v>0</v>
      </c>
      <c r="J9" s="289">
        <f>IF(J$3&gt;'Project Assumptions'!$I$15,0,'Project Assumptions'!$N$67)</f>
        <v>0</v>
      </c>
      <c r="K9" s="289">
        <f>IF(K$3&gt;'Project Assumptions'!$I$15,0,'Project Assumptions'!$N$67)</f>
        <v>0</v>
      </c>
      <c r="L9" s="289">
        <f>IF(L$3&gt;'Project Assumptions'!$I$15,0,'Project Assumptions'!$N$67)</f>
        <v>0</v>
      </c>
      <c r="M9" s="289">
        <f>IF(M$3&gt;'Project Assumptions'!$I$15,0,'Project Assumptions'!$N$67)</f>
        <v>0</v>
      </c>
      <c r="N9" s="289">
        <f>IF(N$3&gt;'Project Assumptions'!$I$15,0,'Project Assumptions'!$N$67)</f>
        <v>0</v>
      </c>
      <c r="O9" s="289">
        <f>IF(O$3&gt;'Project Assumptions'!$I$15,0,'Project Assumptions'!$N$67)</f>
        <v>0</v>
      </c>
      <c r="P9" s="289">
        <f>IF(P$3&gt;'Project Assumptions'!$I$15,0,'Project Assumptions'!$N$67)</f>
        <v>0</v>
      </c>
      <c r="Q9" s="289">
        <f>IF(Q$3&gt;'Project Assumptions'!$I$15,0,'Project Assumptions'!$N$67)</f>
        <v>0</v>
      </c>
      <c r="R9" s="289">
        <f>IF(R$3&gt;'Project Assumptions'!$I$15,0,'Project Assumptions'!$N$67)</f>
        <v>0</v>
      </c>
      <c r="S9" s="289">
        <f>IF(S$3&gt;'Project Assumptions'!$I$15,0,'Project Assumptions'!$N$67)</f>
        <v>0</v>
      </c>
      <c r="T9" s="289">
        <f>IF(T$3&gt;'Project Assumptions'!$I$15,0,'Project Assumptions'!$N$67)</f>
        <v>0</v>
      </c>
      <c r="U9" s="289">
        <f>IF(U$3&gt;'Project Assumptions'!$I$15,0,'Project Assumptions'!$N$67)</f>
        <v>0</v>
      </c>
      <c r="V9" s="289">
        <f>IF(V$3&gt;'Project Assumptions'!$I$15,0,'Project Assumptions'!$N$67)</f>
        <v>0</v>
      </c>
      <c r="W9" s="289">
        <f>IF(W$3&gt;'Project Assumptions'!$I$15,0,'Project Assumptions'!$N$67)</f>
        <v>0</v>
      </c>
      <c r="X9" s="289">
        <f>IF(X$3&gt;'Project Assumptions'!$I$15+1,0,'Project Assumptions'!$N$67)</f>
        <v>0</v>
      </c>
      <c r="Y9" s="289">
        <f>IF(Y$3&gt;'Project Assumptions'!$I$15,0,'Project Assumptions'!$N$67)</f>
        <v>0</v>
      </c>
      <c r="Z9" s="289">
        <f>IF(Z$3&gt;'Project Assumptions'!$I$15,0,'Project Assumptions'!$N$67)</f>
        <v>0</v>
      </c>
      <c r="AA9" s="289">
        <f>IF(AA$3&gt;'Project Assumptions'!$I$15,0,'Project Assumptions'!$N$67)</f>
        <v>0</v>
      </c>
      <c r="AB9" s="587">
        <f>IF(AB$3&gt;'Project Assumptions'!$I$15,0,'Project Assumptions'!$N$67)</f>
        <v>0</v>
      </c>
      <c r="AC9" s="286"/>
      <c r="AD9" s="286"/>
      <c r="AE9" s="286"/>
      <c r="AF9" s="286"/>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row>
    <row r="10" spans="1:255" s="15" customFormat="1" ht="12" customHeight="1">
      <c r="A10" s="523" t="s">
        <v>184</v>
      </c>
      <c r="B10" s="301"/>
      <c r="C10" s="336"/>
      <c r="D10" s="337">
        <f t="shared" ref="D10:AB10" si="2">D8*D9</f>
        <v>0</v>
      </c>
      <c r="E10" s="337">
        <f t="shared" si="2"/>
        <v>0</v>
      </c>
      <c r="F10" s="337">
        <f t="shared" si="2"/>
        <v>0</v>
      </c>
      <c r="G10" s="337">
        <f t="shared" si="2"/>
        <v>0</v>
      </c>
      <c r="H10" s="337">
        <f t="shared" si="2"/>
        <v>0</v>
      </c>
      <c r="I10" s="337">
        <f t="shared" si="2"/>
        <v>0</v>
      </c>
      <c r="J10" s="337">
        <f t="shared" si="2"/>
        <v>0</v>
      </c>
      <c r="K10" s="337">
        <f t="shared" si="2"/>
        <v>0</v>
      </c>
      <c r="L10" s="337">
        <f t="shared" si="2"/>
        <v>0</v>
      </c>
      <c r="M10" s="337">
        <f t="shared" si="2"/>
        <v>0</v>
      </c>
      <c r="N10" s="337">
        <f t="shared" si="2"/>
        <v>0</v>
      </c>
      <c r="O10" s="337">
        <f t="shared" si="2"/>
        <v>0</v>
      </c>
      <c r="P10" s="337">
        <f t="shared" si="2"/>
        <v>0</v>
      </c>
      <c r="Q10" s="337">
        <f t="shared" si="2"/>
        <v>0</v>
      </c>
      <c r="R10" s="337">
        <f t="shared" si="2"/>
        <v>0</v>
      </c>
      <c r="S10" s="337">
        <f t="shared" si="2"/>
        <v>0</v>
      </c>
      <c r="T10" s="337">
        <f t="shared" si="2"/>
        <v>0</v>
      </c>
      <c r="U10" s="337">
        <f t="shared" si="2"/>
        <v>0</v>
      </c>
      <c r="V10" s="337">
        <f t="shared" si="2"/>
        <v>0</v>
      </c>
      <c r="W10" s="337">
        <f t="shared" si="2"/>
        <v>0</v>
      </c>
      <c r="X10" s="337">
        <f t="shared" si="2"/>
        <v>0</v>
      </c>
      <c r="Y10" s="337">
        <f t="shared" si="2"/>
        <v>0</v>
      </c>
      <c r="Z10" s="337">
        <f t="shared" si="2"/>
        <v>0</v>
      </c>
      <c r="AA10" s="337">
        <f t="shared" si="2"/>
        <v>0</v>
      </c>
      <c r="AB10" s="588">
        <f t="shared" si="2"/>
        <v>0</v>
      </c>
      <c r="AC10" s="253"/>
      <c r="AD10" s="286"/>
      <c r="AE10" s="286"/>
      <c r="AF10" s="286"/>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row>
    <row r="11" spans="1:255" s="15" customFormat="1" ht="12" customHeight="1">
      <c r="A11" s="511"/>
      <c r="B11" s="253"/>
      <c r="D11" s="291"/>
      <c r="E11" s="291"/>
      <c r="F11" s="291"/>
      <c r="G11" s="291"/>
      <c r="H11" s="291"/>
      <c r="I11" s="291"/>
      <c r="J11" s="291"/>
      <c r="K11" s="291"/>
      <c r="L11" s="291"/>
      <c r="M11" s="291"/>
      <c r="N11" s="291"/>
      <c r="O11" s="291"/>
      <c r="P11" s="291"/>
      <c r="Q11" s="291"/>
      <c r="R11" s="291"/>
      <c r="S11" s="291"/>
      <c r="T11" s="291"/>
      <c r="U11" s="291"/>
      <c r="V11" s="291"/>
      <c r="W11" s="291"/>
      <c r="X11" s="291"/>
      <c r="Y11" s="291"/>
      <c r="Z11" s="291"/>
      <c r="AA11" s="291"/>
      <c r="AB11" s="589"/>
      <c r="AC11" s="291"/>
      <c r="AD11" s="291"/>
      <c r="AE11" s="253"/>
      <c r="AF11" s="253"/>
    </row>
    <row r="12" spans="1:255" s="31" customFormat="1" ht="12" customHeight="1">
      <c r="A12" s="585" t="s">
        <v>176</v>
      </c>
      <c r="B12" s="253"/>
      <c r="D12" s="290"/>
      <c r="E12" s="290"/>
      <c r="F12" s="290"/>
      <c r="G12" s="290"/>
      <c r="H12" s="290"/>
      <c r="I12" s="290"/>
      <c r="J12" s="290"/>
      <c r="K12" s="290"/>
      <c r="L12" s="290"/>
      <c r="M12" s="290"/>
      <c r="N12" s="290"/>
      <c r="O12" s="290"/>
      <c r="P12" s="290"/>
      <c r="Q12" s="290"/>
      <c r="R12" s="290"/>
      <c r="S12" s="290"/>
      <c r="T12" s="290"/>
      <c r="U12" s="290"/>
      <c r="V12" s="290"/>
      <c r="W12" s="290"/>
      <c r="X12" s="290"/>
      <c r="Y12" s="290"/>
      <c r="Z12" s="290"/>
      <c r="AA12" s="290"/>
      <c r="AB12" s="590"/>
      <c r="AC12" s="253"/>
      <c r="AD12" s="253"/>
      <c r="AE12" s="286"/>
      <c r="AF12" s="286"/>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s="31" customFormat="1" ht="12" customHeight="1">
      <c r="A13" s="517" t="s">
        <v>345</v>
      </c>
      <c r="B13" s="253"/>
      <c r="D13" s="282">
        <f>('Book Income Statement'!D10)*(AnnualHours-TVA_hours)/AnnualHours</f>
        <v>16697.354376946343</v>
      </c>
      <c r="E13" s="282">
        <f>('Book Income Statement'!E10)*(AnnualHours-TVA_hours)/AnnualHours</f>
        <v>16703.371147527432</v>
      </c>
      <c r="F13" s="282">
        <f>('Book Income Statement'!F10)*(AnnualHours-TVA_hours)/AnnualHours</f>
        <v>16703.664842323986</v>
      </c>
      <c r="G13" s="282">
        <f>('Book Income Statement'!G10)*(AnnualHours-TVA_hours)/AnnualHours</f>
        <v>17066.364663683875</v>
      </c>
      <c r="H13" s="282">
        <f>('Book Income Statement'!H10)*(AnnualHours-TVA_hours)/AnnualHours</f>
        <v>17182.539304520589</v>
      </c>
      <c r="I13" s="282">
        <f>('Book Income Statement'!I10)*(AnnualHours-TVA_hours)/AnnualHours</f>
        <v>17182.457552496937</v>
      </c>
      <c r="J13" s="282">
        <f>('Book Income Statement'!J10)*(AnnualHours-TVA_hours)/AnnualHours</f>
        <v>17182.508638963274</v>
      </c>
      <c r="K13" s="282">
        <f>('Book Income Statement'!K10)*(AnnualHours-TVA_hours)/AnnualHours</f>
        <v>17182.876529024103</v>
      </c>
      <c r="L13" s="282">
        <f>('Book Income Statement'!L10)*(AnnualHours-TVA_hours)/AnnualHours</f>
        <v>17183.255455786759</v>
      </c>
      <c r="M13" s="282">
        <f>('Book Income Statement'!M10)*(AnnualHours-TVA_hours)/AnnualHours</f>
        <v>17183.645750352291</v>
      </c>
      <c r="N13" s="282">
        <f>('Book Income Statement'!N10)*(AnnualHours-TVA_hours)/AnnualHours</f>
        <v>17184.047753754789</v>
      </c>
      <c r="O13" s="282">
        <f>('Book Income Statement'!O10)*(AnnualHours-TVA_hours)/AnnualHours</f>
        <v>17184.461817259362</v>
      </c>
      <c r="P13" s="282">
        <f>('Book Income Statement'!P10)*(AnnualHours-TVA_hours)/AnnualHours</f>
        <v>17184.888302669075</v>
      </c>
      <c r="Q13" s="282">
        <f>('Book Income Statement'!Q10)*(AnnualHours-TVA_hours)/AnnualHours</f>
        <v>17185.327582641075</v>
      </c>
      <c r="R13" s="282">
        <f>('Book Income Statement'!R10)*(AnnualHours-TVA_hours)/AnnualHours</f>
        <v>17185.78004101224</v>
      </c>
      <c r="S13" s="282">
        <f>('Book Income Statement'!S10)*(AnnualHours-TVA_hours)/AnnualHours</f>
        <v>17186.246073134535</v>
      </c>
      <c r="T13" s="282">
        <f>('Book Income Statement'!T10)*(AnnualHours-TVA_hours)/AnnualHours</f>
        <v>17186.7260862205</v>
      </c>
      <c r="U13" s="282">
        <f>('Book Income Statement'!U10)*(AnnualHours-TVA_hours)/AnnualHours</f>
        <v>17187.220499699048</v>
      </c>
      <c r="V13" s="282">
        <f>('Book Income Statement'!V10)*(AnnualHours-TVA_hours)/AnnualHours</f>
        <v>17187.72974558195</v>
      </c>
      <c r="W13" s="282">
        <f>('Book Income Statement'!W10)*(AnnualHours-TVA_hours)/AnnualHours</f>
        <v>17188.254268841338</v>
      </c>
      <c r="X13" s="282">
        <f>('Book Income Statement'!X10)*(AnnualHours-TVA_hours)/AnnualHours</f>
        <v>17184.092931129428</v>
      </c>
      <c r="Y13" s="282">
        <f>('Book Income Statement'!Y10)*(AnnualHours-TVA_hours)/AnnualHours</f>
        <v>0</v>
      </c>
      <c r="Z13" s="282">
        <f>('Book Income Statement'!Z10)*(AnnualHours-TVA_hours)/AnnualHours</f>
        <v>0</v>
      </c>
      <c r="AA13" s="282">
        <f>('Book Income Statement'!AA10)*(AnnualHours-TVA_hours)/AnnualHours</f>
        <v>0</v>
      </c>
      <c r="AB13" s="586">
        <f>('Book Income Statement'!AB10)*(AnnualHours-TVA_hours)/AnnualHours</f>
        <v>0</v>
      </c>
      <c r="AC13" s="253"/>
      <c r="AD13" s="253"/>
      <c r="AE13" s="286"/>
      <c r="AF13" s="286"/>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1" customFormat="1" ht="12" customHeight="1">
      <c r="A14" s="517" t="s">
        <v>177</v>
      </c>
      <c r="B14" s="253"/>
      <c r="D14" s="289">
        <f>IF(D$3&gt;'Project Assumptions'!$I$15,0,'Project Assumptions'!$N$66)</f>
        <v>0</v>
      </c>
      <c r="E14" s="289">
        <f>IF(E3&gt;'Project Assumptions'!$I$15,0,'Project Assumptions'!$N$66)</f>
        <v>0</v>
      </c>
      <c r="F14" s="289">
        <f>IF(F3&gt;'Project Assumptions'!$I$15,0,'Project Assumptions'!$N$66)</f>
        <v>0</v>
      </c>
      <c r="G14" s="289">
        <f>IF(G3&gt;'Project Assumptions'!$I$15,0,'Project Assumptions'!$N$66)</f>
        <v>0</v>
      </c>
      <c r="H14" s="289">
        <f>IF(H3&gt;'Project Assumptions'!$I$15,0,'Project Assumptions'!$N$66)</f>
        <v>0</v>
      </c>
      <c r="I14" s="289">
        <f>IF(I3&gt;'Project Assumptions'!$I$15,0,'Project Assumptions'!$N$66)</f>
        <v>0</v>
      </c>
      <c r="J14" s="289">
        <f>IF(J3&gt;'Project Assumptions'!$I$15,0,'Project Assumptions'!$N$66)</f>
        <v>0</v>
      </c>
      <c r="K14" s="289">
        <f>IF(K3&gt;'Project Assumptions'!$I$15,0,'Project Assumptions'!$N$66)</f>
        <v>0</v>
      </c>
      <c r="L14" s="289">
        <f>IF(L3&gt;'Project Assumptions'!$I$15,0,'Project Assumptions'!$N$66)</f>
        <v>0</v>
      </c>
      <c r="M14" s="289">
        <f>IF(M3&gt;'Project Assumptions'!$I$15,0,'Project Assumptions'!$N$66)</f>
        <v>0</v>
      </c>
      <c r="N14" s="289">
        <f>IF(N3&gt;'Project Assumptions'!$I$15,0,'Project Assumptions'!$N$66)</f>
        <v>0</v>
      </c>
      <c r="O14" s="289">
        <f>IF(O3&gt;'Project Assumptions'!$I$15,0,'Project Assumptions'!$N$66)</f>
        <v>0</v>
      </c>
      <c r="P14" s="289">
        <f>IF(P3&gt;'Project Assumptions'!$I$15,0,'Project Assumptions'!$N$66)</f>
        <v>0</v>
      </c>
      <c r="Q14" s="289">
        <f>IF(Q3&gt;'Project Assumptions'!$I$15,0,'Project Assumptions'!$N$66)</f>
        <v>0</v>
      </c>
      <c r="R14" s="289">
        <f>IF(R3&gt;'Project Assumptions'!$I$15,0,'Project Assumptions'!$N$66)</f>
        <v>0</v>
      </c>
      <c r="S14" s="289">
        <f>IF(S3&gt;'Project Assumptions'!$I$15,0,'Project Assumptions'!$N$66)</f>
        <v>0</v>
      </c>
      <c r="T14" s="289">
        <f>IF(T3&gt;'Project Assumptions'!$I$15,0,'Project Assumptions'!$N$66)</f>
        <v>0</v>
      </c>
      <c r="U14" s="289">
        <f>IF(U3&gt;'Project Assumptions'!$I$15,0,'Project Assumptions'!$N$66)</f>
        <v>0</v>
      </c>
      <c r="V14" s="289">
        <f>IF(V3&gt;'Project Assumptions'!$I$15,0,'Project Assumptions'!$N$66)</f>
        <v>0</v>
      </c>
      <c r="W14" s="289">
        <f>IF(W3&gt;'Project Assumptions'!$I$15,0,'Project Assumptions'!$N$66)</f>
        <v>0</v>
      </c>
      <c r="X14" s="289">
        <f>IF(X3&gt;'Project Assumptions'!$I$15,0,'Project Assumptions'!$N$66)</f>
        <v>0</v>
      </c>
      <c r="Y14" s="289">
        <f>IF(Y3&gt;'Project Assumptions'!$I$15,0,'Project Assumptions'!$N$66)</f>
        <v>0</v>
      </c>
      <c r="Z14" s="289">
        <f>IF(Z3&gt;'Project Assumptions'!$I$15,0,'Project Assumptions'!$N$66)</f>
        <v>0</v>
      </c>
      <c r="AA14" s="289">
        <f>IF(AA3&gt;'Project Assumptions'!$I$15,0,'Project Assumptions'!$N$66)</f>
        <v>0</v>
      </c>
      <c r="AB14" s="587">
        <f>IF(AB3&gt;'Project Assumptions'!$I$15,0,'Project Assumptions'!$N$66)</f>
        <v>0</v>
      </c>
      <c r="AC14" s="253"/>
      <c r="AD14" s="253"/>
      <c r="AE14" s="286"/>
      <c r="AF14" s="286"/>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1" customFormat="1" ht="12" customHeight="1">
      <c r="A15" s="513" t="s">
        <v>178</v>
      </c>
      <c r="B15" s="301"/>
      <c r="C15" s="338"/>
      <c r="D15" s="337">
        <f>D13*D14</f>
        <v>0</v>
      </c>
      <c r="E15" s="337">
        <f t="shared" ref="E15:AB15" si="3">E13*E14</f>
        <v>0</v>
      </c>
      <c r="F15" s="337">
        <f t="shared" si="3"/>
        <v>0</v>
      </c>
      <c r="G15" s="337">
        <f t="shared" si="3"/>
        <v>0</v>
      </c>
      <c r="H15" s="337">
        <f t="shared" si="3"/>
        <v>0</v>
      </c>
      <c r="I15" s="337">
        <f t="shared" si="3"/>
        <v>0</v>
      </c>
      <c r="J15" s="337">
        <f t="shared" si="3"/>
        <v>0</v>
      </c>
      <c r="K15" s="337">
        <f t="shared" si="3"/>
        <v>0</v>
      </c>
      <c r="L15" s="337">
        <f t="shared" si="3"/>
        <v>0</v>
      </c>
      <c r="M15" s="337">
        <f t="shared" si="3"/>
        <v>0</v>
      </c>
      <c r="N15" s="337">
        <f t="shared" si="3"/>
        <v>0</v>
      </c>
      <c r="O15" s="337">
        <f t="shared" si="3"/>
        <v>0</v>
      </c>
      <c r="P15" s="337">
        <f t="shared" si="3"/>
        <v>0</v>
      </c>
      <c r="Q15" s="337">
        <f t="shared" si="3"/>
        <v>0</v>
      </c>
      <c r="R15" s="337">
        <f t="shared" si="3"/>
        <v>0</v>
      </c>
      <c r="S15" s="337">
        <f t="shared" si="3"/>
        <v>0</v>
      </c>
      <c r="T15" s="337">
        <f t="shared" si="3"/>
        <v>0</v>
      </c>
      <c r="U15" s="337">
        <f t="shared" si="3"/>
        <v>0</v>
      </c>
      <c r="V15" s="337">
        <f t="shared" si="3"/>
        <v>0</v>
      </c>
      <c r="W15" s="337">
        <f t="shared" si="3"/>
        <v>0</v>
      </c>
      <c r="X15" s="337">
        <f t="shared" si="3"/>
        <v>0</v>
      </c>
      <c r="Y15" s="337">
        <f t="shared" si="3"/>
        <v>0</v>
      </c>
      <c r="Z15" s="337">
        <f t="shared" si="3"/>
        <v>0</v>
      </c>
      <c r="AA15" s="337">
        <f t="shared" si="3"/>
        <v>0</v>
      </c>
      <c r="AB15" s="588">
        <f t="shared" si="3"/>
        <v>0</v>
      </c>
      <c r="AC15" s="253"/>
      <c r="AD15" s="253"/>
      <c r="AE15" s="286"/>
      <c r="AF15" s="286"/>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ht="12" customHeight="1">
      <c r="A16" s="584"/>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524"/>
      <c r="AC16" s="253"/>
      <c r="AD16" s="253"/>
    </row>
    <row r="17" spans="1:255" ht="12" customHeight="1">
      <c r="A17" s="585" t="s">
        <v>175</v>
      </c>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524"/>
      <c r="AC17" s="253"/>
      <c r="AD17" s="253"/>
    </row>
    <row r="18" spans="1:255" s="27" customFormat="1" ht="12" customHeight="1">
      <c r="A18" s="517" t="s">
        <v>93</v>
      </c>
      <c r="B18" s="591"/>
      <c r="C18" s="592"/>
      <c r="D18" s="282">
        <f>'Book Income Statement'!D72</f>
        <v>-512.68056633142987</v>
      </c>
      <c r="E18" s="282">
        <f>'Book Income Statement'!E72</f>
        <v>6928.9395339149505</v>
      </c>
      <c r="F18" s="282">
        <f>'Book Income Statement'!F72</f>
        <v>7213.5262874130331</v>
      </c>
      <c r="G18" s="282">
        <f>'Book Income Statement'!G72</f>
        <v>12680.680583850901</v>
      </c>
      <c r="H18" s="282">
        <f>'Book Income Statement'!H72</f>
        <v>17241.503070071703</v>
      </c>
      <c r="I18" s="282">
        <f>'Book Income Statement'!I72</f>
        <v>18192.260974544246</v>
      </c>
      <c r="J18" s="282">
        <f>'Book Income Statement'!J72</f>
        <v>19064.79852698504</v>
      </c>
      <c r="K18" s="282">
        <f>'Book Income Statement'!K72</f>
        <v>20493.142493911233</v>
      </c>
      <c r="L18" s="282">
        <f>'Book Income Statement'!L72</f>
        <v>21250.681268352131</v>
      </c>
      <c r="M18" s="282">
        <f>'Book Income Statement'!M72</f>
        <v>23013.379022331817</v>
      </c>
      <c r="N18" s="282">
        <f>'Book Income Statement'!N72</f>
        <v>24270.054392306156</v>
      </c>
      <c r="O18" s="282">
        <f>'Book Income Statement'!O72</f>
        <v>25534.884763776881</v>
      </c>
      <c r="P18" s="282">
        <f>'Book Income Statement'!P72</f>
        <v>26101.149023808081</v>
      </c>
      <c r="Q18" s="282">
        <f>'Book Income Statement'!Q72</f>
        <v>26652.115797906878</v>
      </c>
      <c r="R18" s="282">
        <f>'Book Income Statement'!R72</f>
        <v>27186.617550181687</v>
      </c>
      <c r="S18" s="282">
        <f>'Book Income Statement'!S72</f>
        <v>27703.430460324751</v>
      </c>
      <c r="T18" s="282">
        <f>'Book Income Statement'!T72</f>
        <v>28201.272097329456</v>
      </c>
      <c r="U18" s="282">
        <f>'Book Income Statement'!U72</f>
        <v>28967.633558022848</v>
      </c>
      <c r="V18" s="282">
        <f>'Book Income Statement'!V72</f>
        <v>29827.807119985475</v>
      </c>
      <c r="W18" s="282">
        <f>'Book Income Statement'!W72</f>
        <v>30838.086567633141</v>
      </c>
      <c r="X18" s="282">
        <f>'Book Income Statement'!X72</f>
        <v>8394.9863650228526</v>
      </c>
      <c r="Y18" s="282">
        <f>'Book Income Statement'!Y72</f>
        <v>0</v>
      </c>
      <c r="Z18" s="282">
        <f>'Book Income Statement'!Z72</f>
        <v>0</v>
      </c>
      <c r="AA18" s="282">
        <f>'Book Income Statement'!AA72</f>
        <v>0</v>
      </c>
      <c r="AB18" s="586">
        <f>'Book Income Statement'!AB72</f>
        <v>0</v>
      </c>
      <c r="AC18" s="282"/>
      <c r="AD18" s="282"/>
      <c r="AE18" s="272"/>
      <c r="AF18" s="272"/>
    </row>
    <row r="19" spans="1:255" ht="12" customHeight="1">
      <c r="A19" s="517" t="s">
        <v>36</v>
      </c>
      <c r="B19" s="253"/>
      <c r="C19" s="253"/>
      <c r="D19" s="284">
        <f>'Book Income Statement'!D65</f>
        <v>3246.9725341666667</v>
      </c>
      <c r="E19" s="284">
        <f>'Book Income Statement'!E65</f>
        <v>5566.2386299999998</v>
      </c>
      <c r="F19" s="284">
        <f>'Book Income Statement'!F65</f>
        <v>5566.2386299999998</v>
      </c>
      <c r="G19" s="284">
        <f>'Book Income Statement'!G65</f>
        <v>5566.2386299999998</v>
      </c>
      <c r="H19" s="284">
        <f>'Book Income Statement'!H65</f>
        <v>5566.2386299999998</v>
      </c>
      <c r="I19" s="284">
        <f>'Book Income Statement'!I65</f>
        <v>5328.1699133333332</v>
      </c>
      <c r="J19" s="284">
        <f>'Book Income Statement'!J65</f>
        <v>5158.1208299999998</v>
      </c>
      <c r="K19" s="284">
        <f>'Book Income Statement'!K65</f>
        <v>5158.1208299999998</v>
      </c>
      <c r="L19" s="284">
        <f>'Book Income Statement'!L65</f>
        <v>5158.1208299999998</v>
      </c>
      <c r="M19" s="284">
        <f>'Book Income Statement'!M65</f>
        <v>5158.1208299999998</v>
      </c>
      <c r="N19" s="284">
        <f>'Book Income Statement'!N65</f>
        <v>5158.1208299999998</v>
      </c>
      <c r="O19" s="284">
        <f>'Book Income Statement'!O65</f>
        <v>5158.1208299999998</v>
      </c>
      <c r="P19" s="284">
        <f>'Book Income Statement'!P65</f>
        <v>5158.1208299999998</v>
      </c>
      <c r="Q19" s="284">
        <f>'Book Income Statement'!Q65</f>
        <v>5158.1208299999998</v>
      </c>
      <c r="R19" s="284">
        <f>'Book Income Statement'!R65</f>
        <v>5158.1208299999998</v>
      </c>
      <c r="S19" s="284">
        <f>'Book Income Statement'!S65</f>
        <v>5158.1208299999998</v>
      </c>
      <c r="T19" s="284">
        <f>'Book Income Statement'!T65</f>
        <v>5158.1208299999998</v>
      </c>
      <c r="U19" s="284">
        <f>'Book Income Statement'!U65</f>
        <v>5158.1208299999998</v>
      </c>
      <c r="V19" s="284">
        <f>'Book Income Statement'!V65</f>
        <v>5158.1208299999998</v>
      </c>
      <c r="W19" s="284">
        <f>'Book Income Statement'!W65</f>
        <v>5158.1208299999998</v>
      </c>
      <c r="X19" s="284">
        <f>'Book Income Statement'!X65</f>
        <v>5158.1208299999998</v>
      </c>
      <c r="Y19" s="284">
        <f>'Book Income Statement'!Y65</f>
        <v>0</v>
      </c>
      <c r="Z19" s="284">
        <f>'Book Income Statement'!Z65</f>
        <v>0</v>
      </c>
      <c r="AA19" s="284">
        <f>'Book Income Statement'!AA65</f>
        <v>0</v>
      </c>
      <c r="AB19" s="518">
        <f>'Book Income Statement'!AB65</f>
        <v>0</v>
      </c>
      <c r="AC19" s="284"/>
      <c r="AD19" s="284"/>
    </row>
    <row r="20" spans="1:255" s="17" customFormat="1" ht="12" customHeight="1">
      <c r="A20" s="517" t="s">
        <v>179</v>
      </c>
      <c r="B20" s="253"/>
      <c r="C20" s="31"/>
      <c r="D20" s="287">
        <f>IF(D3&lt;='Project Assumptions'!$I$15,Depreciation!D28*-1,0)</f>
        <v>-8834.9367666666658</v>
      </c>
      <c r="E20" s="287">
        <f>IF(E3&lt;='Project Assumptions'!$I$15,Depreciation!E28*-1,0)</f>
        <v>-16742.167094999997</v>
      </c>
      <c r="F20" s="287">
        <f>IF(F3&lt;='Project Assumptions'!$I$15,Depreciation!F28*-1,0)</f>
        <v>-15108.762165499998</v>
      </c>
      <c r="G20" s="287">
        <f>IF(G3&lt;='Project Assumptions'!$I$15,Depreciation!G28*-1,0)</f>
        <v>-13647.294596999998</v>
      </c>
      <c r="H20" s="287">
        <f>IF(H3&lt;='Project Assumptions'!$I$15,Depreciation!H28*-1,0)</f>
        <v>-12323.376917299998</v>
      </c>
      <c r="I20" s="287">
        <f>IF(I3&lt;='Project Assumptions'!$I$15,Depreciation!I28*-1,0)</f>
        <v>-10881.746673633332</v>
      </c>
      <c r="J20" s="287">
        <f>IF(J3&lt;='Project Assumptions'!$I$15,Depreciation!J28*-1,0)</f>
        <v>-10144.304298999998</v>
      </c>
      <c r="K20" s="287">
        <f>IF(K3&lt;='Project Assumptions'!$I$15,Depreciation!K28*-1,0)</f>
        <v>-10161.498035099998</v>
      </c>
      <c r="L20" s="287">
        <f>IF(L3&lt;='Project Assumptions'!$I$15,Depreciation!L28*-1,0)</f>
        <v>-10144.304298999998</v>
      </c>
      <c r="M20" s="287">
        <f>IF(M3&lt;='Project Assumptions'!$I$15,Depreciation!M28*-1,0)</f>
        <v>-10161.498035099998</v>
      </c>
      <c r="N20" s="287">
        <f>IF(N3&lt;='Project Assumptions'!$I$15,Depreciation!N28*-1,0)</f>
        <v>-10144.304298999998</v>
      </c>
      <c r="O20" s="287">
        <f>IF(O3&lt;='Project Assumptions'!$I$15,Depreciation!O28*-1,0)</f>
        <v>-10161.498035099998</v>
      </c>
      <c r="P20" s="287">
        <f>IF(P3&lt;='Project Assumptions'!$I$15,Depreciation!P28*-1,0)</f>
        <v>-10144.304298999998</v>
      </c>
      <c r="Q20" s="287">
        <f>IF(Q3&lt;='Project Assumptions'!$I$15,Depreciation!Q28*-1,0)</f>
        <v>-10161.498035099998</v>
      </c>
      <c r="R20" s="287">
        <f>IF(R3&lt;='Project Assumptions'!$I$15,Depreciation!R28*-1,0)</f>
        <v>-10144.304298999998</v>
      </c>
      <c r="S20" s="287">
        <f>IF(S3&lt;='Project Assumptions'!$I$15,Depreciation!S28*-1,0)</f>
        <v>-5072.1521494999988</v>
      </c>
      <c r="T20" s="287">
        <f>IF(T3&lt;='Project Assumptions'!$I$15,Depreciation!T28*-1,0)</f>
        <v>0</v>
      </c>
      <c r="U20" s="287">
        <f>IF(U3&lt;='Project Assumptions'!$I$15,Depreciation!U28*-1,0)</f>
        <v>0</v>
      </c>
      <c r="V20" s="287">
        <f>IF(V3&lt;='Project Assumptions'!$I$15,Depreciation!V28*-1,0)</f>
        <v>0</v>
      </c>
      <c r="W20" s="287">
        <f>IF(W3&lt;='Project Assumptions'!$I$15,Depreciation!W28*-1,0)</f>
        <v>0</v>
      </c>
      <c r="X20" s="287">
        <f>IF(X3&lt;='Project Assumptions'!$I$15+1,Depreciation!X28*-1,0)</f>
        <v>0</v>
      </c>
      <c r="Y20" s="287">
        <f>IF(Y3&lt;='Project Assumptions'!$I$15,Depreciation!Y28*-1,0)</f>
        <v>0</v>
      </c>
      <c r="Z20" s="287">
        <f>IF(Z3&lt;='Project Assumptions'!$I$15,Depreciation!Z28*-1,0)</f>
        <v>0</v>
      </c>
      <c r="AA20" s="287">
        <f>IF(AA3&lt;='Project Assumptions'!$I$15,Depreciation!AA28*-1,0)</f>
        <v>0</v>
      </c>
      <c r="AB20" s="593">
        <f>IF(AB3&lt;='Project Assumptions'!$I$15,Depreciation!AB28*-1,0)</f>
        <v>0</v>
      </c>
      <c r="AC20" s="253"/>
      <c r="AD20" s="253"/>
      <c r="AE20" s="286"/>
      <c r="AF20" s="286"/>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s="17" customFormat="1" ht="12" customHeight="1">
      <c r="A21" s="513" t="s">
        <v>448</v>
      </c>
      <c r="B21" s="253"/>
      <c r="C21" s="31"/>
      <c r="D21" s="287">
        <f>SUM(D18:D20)</f>
        <v>-6100.6447988314285</v>
      </c>
      <c r="E21" s="287">
        <f t="shared" ref="E21:AB21" si="4">SUM(E18:E20)</f>
        <v>-4246.9889310850467</v>
      </c>
      <c r="F21" s="287">
        <f t="shared" si="4"/>
        <v>-2328.9972480869656</v>
      </c>
      <c r="G21" s="287">
        <f t="shared" si="4"/>
        <v>4599.6246168509042</v>
      </c>
      <c r="H21" s="287">
        <f t="shared" si="4"/>
        <v>10484.364782771705</v>
      </c>
      <c r="I21" s="287">
        <f t="shared" si="4"/>
        <v>12638.684214244246</v>
      </c>
      <c r="J21" s="287">
        <f t="shared" si="4"/>
        <v>14078.615057985042</v>
      </c>
      <c r="K21" s="287">
        <f t="shared" si="4"/>
        <v>15489.765288811235</v>
      </c>
      <c r="L21" s="287">
        <f t="shared" si="4"/>
        <v>16264.497799352133</v>
      </c>
      <c r="M21" s="287">
        <f t="shared" si="4"/>
        <v>18010.00181723182</v>
      </c>
      <c r="N21" s="287">
        <f t="shared" si="4"/>
        <v>19283.87092330616</v>
      </c>
      <c r="O21" s="287">
        <f t="shared" si="4"/>
        <v>20531.507558676883</v>
      </c>
      <c r="P21" s="287">
        <f t="shared" si="4"/>
        <v>21114.965554808085</v>
      </c>
      <c r="Q21" s="287">
        <f t="shared" si="4"/>
        <v>21648.73859280688</v>
      </c>
      <c r="R21" s="287">
        <f t="shared" si="4"/>
        <v>22200.434081181687</v>
      </c>
      <c r="S21" s="287">
        <f t="shared" si="4"/>
        <v>27789.399140824753</v>
      </c>
      <c r="T21" s="287">
        <f t="shared" si="4"/>
        <v>33359.392927329456</v>
      </c>
      <c r="U21" s="287">
        <f t="shared" si="4"/>
        <v>34125.754388022848</v>
      </c>
      <c r="V21" s="287">
        <f t="shared" si="4"/>
        <v>34985.927949985475</v>
      </c>
      <c r="W21" s="287">
        <f t="shared" si="4"/>
        <v>35996.207397633145</v>
      </c>
      <c r="X21" s="287">
        <f t="shared" si="4"/>
        <v>13553.107195022852</v>
      </c>
      <c r="Y21" s="287">
        <f t="shared" si="4"/>
        <v>0</v>
      </c>
      <c r="Z21" s="287">
        <f t="shared" si="4"/>
        <v>0</v>
      </c>
      <c r="AA21" s="287">
        <f t="shared" si="4"/>
        <v>0</v>
      </c>
      <c r="AB21" s="593">
        <f t="shared" si="4"/>
        <v>0</v>
      </c>
      <c r="AC21" s="253"/>
      <c r="AD21" s="253"/>
      <c r="AE21" s="286"/>
      <c r="AF21" s="286"/>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2" customHeight="1">
      <c r="A22" s="517"/>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594"/>
      <c r="AC22" s="286"/>
      <c r="AD22" s="286"/>
      <c r="AE22" s="286"/>
      <c r="AF22" s="286"/>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row>
    <row r="23" spans="1:255" ht="12" customHeight="1">
      <c r="A23" s="517" t="s">
        <v>89</v>
      </c>
      <c r="B23" s="253"/>
      <c r="C23" s="253"/>
      <c r="D23" s="284">
        <f>D21</f>
        <v>-6100.6447988314285</v>
      </c>
      <c r="E23" s="284">
        <f t="shared" ref="E23:AB23" si="5">E21</f>
        <v>-4246.9889310850467</v>
      </c>
      <c r="F23" s="284">
        <f t="shared" si="5"/>
        <v>-2328.9972480869656</v>
      </c>
      <c r="G23" s="284">
        <f t="shared" si="5"/>
        <v>4599.6246168509042</v>
      </c>
      <c r="H23" s="284">
        <f t="shared" si="5"/>
        <v>10484.364782771705</v>
      </c>
      <c r="I23" s="284">
        <f t="shared" si="5"/>
        <v>12638.684214244246</v>
      </c>
      <c r="J23" s="284">
        <f t="shared" si="5"/>
        <v>14078.615057985042</v>
      </c>
      <c r="K23" s="284">
        <f t="shared" si="5"/>
        <v>15489.765288811235</v>
      </c>
      <c r="L23" s="284">
        <f t="shared" si="5"/>
        <v>16264.497799352133</v>
      </c>
      <c r="M23" s="284">
        <f t="shared" si="5"/>
        <v>18010.00181723182</v>
      </c>
      <c r="N23" s="284">
        <f t="shared" si="5"/>
        <v>19283.87092330616</v>
      </c>
      <c r="O23" s="284">
        <f t="shared" si="5"/>
        <v>20531.507558676883</v>
      </c>
      <c r="P23" s="284">
        <f t="shared" si="5"/>
        <v>21114.965554808085</v>
      </c>
      <c r="Q23" s="284">
        <f t="shared" si="5"/>
        <v>21648.73859280688</v>
      </c>
      <c r="R23" s="284">
        <f t="shared" si="5"/>
        <v>22200.434081181687</v>
      </c>
      <c r="S23" s="284">
        <f t="shared" si="5"/>
        <v>27789.399140824753</v>
      </c>
      <c r="T23" s="284">
        <f t="shared" si="5"/>
        <v>33359.392927329456</v>
      </c>
      <c r="U23" s="284">
        <f t="shared" si="5"/>
        <v>34125.754388022848</v>
      </c>
      <c r="V23" s="284">
        <f t="shared" si="5"/>
        <v>34985.927949985475</v>
      </c>
      <c r="W23" s="284">
        <f t="shared" si="5"/>
        <v>35996.207397633145</v>
      </c>
      <c r="X23" s="284">
        <f t="shared" si="5"/>
        <v>13553.107195022852</v>
      </c>
      <c r="Y23" s="284">
        <f t="shared" si="5"/>
        <v>0</v>
      </c>
      <c r="Z23" s="284">
        <f t="shared" si="5"/>
        <v>0</v>
      </c>
      <c r="AA23" s="284">
        <f t="shared" si="5"/>
        <v>0</v>
      </c>
      <c r="AB23" s="518">
        <f t="shared" si="5"/>
        <v>0</v>
      </c>
      <c r="AC23" s="288"/>
      <c r="AD23" s="288"/>
    </row>
    <row r="24" spans="1:255" ht="12" customHeight="1">
      <c r="A24" s="517" t="s">
        <v>180</v>
      </c>
      <c r="B24" s="253"/>
      <c r="C24" s="253"/>
      <c r="D24" s="289">
        <f>IF(D$3&gt;'Project Assumptions'!$I$15,0,'Project Assumptions'!$N$63)</f>
        <v>8.2500000000000004E-2</v>
      </c>
      <c r="E24" s="289">
        <f>IF(E$3&gt;'Project Assumptions'!$I$15,0,'Project Assumptions'!$N$63)</f>
        <v>8.2500000000000004E-2</v>
      </c>
      <c r="F24" s="289">
        <f>IF(F$3&gt;'Project Assumptions'!$I$15,0,'Project Assumptions'!$N$63)</f>
        <v>8.2500000000000004E-2</v>
      </c>
      <c r="G24" s="289">
        <f>IF(G$3&gt;'Project Assumptions'!$I$15,0,'Project Assumptions'!$N$63)</f>
        <v>8.2500000000000004E-2</v>
      </c>
      <c r="H24" s="289">
        <f>IF(H$3&gt;'Project Assumptions'!$I$15,0,'Project Assumptions'!$N$63)</f>
        <v>8.2500000000000004E-2</v>
      </c>
      <c r="I24" s="289">
        <f>IF(I$3&gt;'Project Assumptions'!$I$15,0,'Project Assumptions'!$N$63)</f>
        <v>8.2500000000000004E-2</v>
      </c>
      <c r="J24" s="289">
        <f>IF(J$3&gt;'Project Assumptions'!$I$15,0,'Project Assumptions'!$N$63)</f>
        <v>8.2500000000000004E-2</v>
      </c>
      <c r="K24" s="289">
        <f>IF(K$3&gt;'Project Assumptions'!$I$15,0,'Project Assumptions'!$N$63)</f>
        <v>8.2500000000000004E-2</v>
      </c>
      <c r="L24" s="289">
        <f>IF(L$3&gt;'Project Assumptions'!$I$15,0,'Project Assumptions'!$N$63)</f>
        <v>8.2500000000000004E-2</v>
      </c>
      <c r="M24" s="289">
        <f>IF(M$3&gt;'Project Assumptions'!$I$15,0,'Project Assumptions'!$N$63)</f>
        <v>8.2500000000000004E-2</v>
      </c>
      <c r="N24" s="289">
        <f>IF(N$3&gt;'Project Assumptions'!$I$15,0,'Project Assumptions'!$N$63)</f>
        <v>8.2500000000000004E-2</v>
      </c>
      <c r="O24" s="289">
        <f>IF(O$3&gt;'Project Assumptions'!$I$15,0,'Project Assumptions'!$N$63)</f>
        <v>8.2500000000000004E-2</v>
      </c>
      <c r="P24" s="289">
        <f>IF(P$3&gt;'Project Assumptions'!$I$15,0,'Project Assumptions'!$N$63)</f>
        <v>8.2500000000000004E-2</v>
      </c>
      <c r="Q24" s="289">
        <f>IF(Q$3&gt;'Project Assumptions'!$I$15,0,'Project Assumptions'!$N$63)</f>
        <v>8.2500000000000004E-2</v>
      </c>
      <c r="R24" s="289">
        <f>IF(R$3&gt;'Project Assumptions'!$I$15,0,'Project Assumptions'!$N$63)</f>
        <v>8.2500000000000004E-2</v>
      </c>
      <c r="S24" s="289">
        <f>IF(S$3&gt;'Project Assumptions'!$I$15,0,'Project Assumptions'!$N$63)</f>
        <v>8.2500000000000004E-2</v>
      </c>
      <c r="T24" s="289">
        <f>IF(T$3&gt;'Project Assumptions'!$I$15,0,'Project Assumptions'!$N$63)</f>
        <v>8.2500000000000004E-2</v>
      </c>
      <c r="U24" s="289">
        <f>IF(U$3&gt;'Project Assumptions'!$I$15,0,'Project Assumptions'!$N$63)</f>
        <v>8.2500000000000004E-2</v>
      </c>
      <c r="V24" s="289">
        <f>IF(V$3&gt;'Project Assumptions'!$I$15,0,'Project Assumptions'!$N$63)</f>
        <v>8.2500000000000004E-2</v>
      </c>
      <c r="W24" s="289">
        <f>IF(W$3&gt;'Project Assumptions'!$I$15,0,'Project Assumptions'!$N$63)</f>
        <v>8.2500000000000004E-2</v>
      </c>
      <c r="X24" s="289">
        <f>IF(X$3&gt;'Project Assumptions'!$I$15+1,0,'Project Assumptions'!$N$63)</f>
        <v>8.2500000000000004E-2</v>
      </c>
      <c r="Y24" s="289">
        <f>IF(Y$3&gt;'Project Assumptions'!$I$15,0,'Project Assumptions'!$N$63)</f>
        <v>0</v>
      </c>
      <c r="Z24" s="289">
        <f>IF(Z$3&gt;'Project Assumptions'!$I$15,0,'Project Assumptions'!$N$63)</f>
        <v>0</v>
      </c>
      <c r="AA24" s="289">
        <f>IF(AA$3&gt;'Project Assumptions'!$I$15,0,'Project Assumptions'!$N$63)</f>
        <v>0</v>
      </c>
      <c r="AB24" s="587">
        <f>IF(AB$3&gt;'Project Assumptions'!$I$15,0,'Project Assumptions'!$N$63)</f>
        <v>0</v>
      </c>
      <c r="AC24" s="253"/>
      <c r="AD24" s="286"/>
      <c r="AE24" s="286"/>
      <c r="AF24" s="286"/>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row>
    <row r="25" spans="1:255" s="27" customFormat="1" ht="12" customHeight="1">
      <c r="A25" s="517" t="s">
        <v>173</v>
      </c>
      <c r="B25" s="591"/>
      <c r="C25" s="592"/>
      <c r="D25" s="282">
        <f>D23*D24</f>
        <v>-503.30319590359289</v>
      </c>
      <c r="E25" s="282">
        <f t="shared" ref="E25:AB25" si="6">E23*E24</f>
        <v>-350.37658681451637</v>
      </c>
      <c r="F25" s="282">
        <f t="shared" si="6"/>
        <v>-192.14227296717468</v>
      </c>
      <c r="G25" s="282">
        <f t="shared" si="6"/>
        <v>379.46903089019963</v>
      </c>
      <c r="H25" s="282">
        <f t="shared" si="6"/>
        <v>864.96009457866569</v>
      </c>
      <c r="I25" s="282">
        <f t="shared" si="6"/>
        <v>1042.6914476751504</v>
      </c>
      <c r="J25" s="282">
        <f t="shared" si="6"/>
        <v>1161.4857422837661</v>
      </c>
      <c r="K25" s="282">
        <f t="shared" si="6"/>
        <v>1277.9056363269269</v>
      </c>
      <c r="L25" s="282">
        <f t="shared" si="6"/>
        <v>1341.821068446551</v>
      </c>
      <c r="M25" s="282">
        <f t="shared" si="6"/>
        <v>1485.8251499216251</v>
      </c>
      <c r="N25" s="282">
        <f t="shared" si="6"/>
        <v>1590.9193511727583</v>
      </c>
      <c r="O25" s="282">
        <f t="shared" si="6"/>
        <v>1693.849373590843</v>
      </c>
      <c r="P25" s="282">
        <f t="shared" si="6"/>
        <v>1741.9846582716671</v>
      </c>
      <c r="Q25" s="282">
        <f t="shared" si="6"/>
        <v>1786.0209339065677</v>
      </c>
      <c r="R25" s="282">
        <f t="shared" si="6"/>
        <v>1831.5358116974892</v>
      </c>
      <c r="S25" s="282">
        <f t="shared" si="6"/>
        <v>2292.6254291180421</v>
      </c>
      <c r="T25" s="282">
        <f t="shared" si="6"/>
        <v>2752.1499165046803</v>
      </c>
      <c r="U25" s="282">
        <f t="shared" si="6"/>
        <v>2815.3747370118849</v>
      </c>
      <c r="V25" s="282">
        <f t="shared" si="6"/>
        <v>2886.339055873802</v>
      </c>
      <c r="W25" s="282">
        <f t="shared" si="6"/>
        <v>2969.6871103047347</v>
      </c>
      <c r="X25" s="282">
        <f t="shared" si="6"/>
        <v>1118.1313435893853</v>
      </c>
      <c r="Y25" s="282">
        <f t="shared" si="6"/>
        <v>0</v>
      </c>
      <c r="Z25" s="282">
        <f t="shared" si="6"/>
        <v>0</v>
      </c>
      <c r="AA25" s="282">
        <f t="shared" si="6"/>
        <v>0</v>
      </c>
      <c r="AB25" s="586">
        <f t="shared" si="6"/>
        <v>0</v>
      </c>
      <c r="AC25" s="282"/>
      <c r="AD25" s="282"/>
      <c r="AE25" s="272"/>
      <c r="AF25" s="272"/>
    </row>
    <row r="26" spans="1:255" s="17" customFormat="1" ht="12" customHeight="1">
      <c r="A26" s="517"/>
      <c r="B26" s="253"/>
      <c r="C26" s="31"/>
      <c r="D26" s="290"/>
      <c r="E26" s="290"/>
      <c r="F26" s="290"/>
      <c r="G26" s="290"/>
      <c r="H26" s="290"/>
      <c r="I26" s="290"/>
      <c r="J26" s="290"/>
      <c r="K26" s="290"/>
      <c r="L26" s="290"/>
      <c r="M26" s="290"/>
      <c r="N26" s="290"/>
      <c r="O26" s="290"/>
      <c r="P26" s="290"/>
      <c r="Q26" s="290"/>
      <c r="R26" s="290"/>
      <c r="S26" s="290"/>
      <c r="T26" s="290"/>
      <c r="U26" s="290"/>
      <c r="V26" s="290"/>
      <c r="W26" s="290"/>
      <c r="X26" s="290"/>
      <c r="Y26" s="290"/>
      <c r="Z26" s="290"/>
      <c r="AA26" s="290"/>
      <c r="AB26" s="590"/>
      <c r="AC26" s="253"/>
      <c r="AD26" s="253"/>
      <c r="AE26" s="286"/>
      <c r="AF26" s="286"/>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row>
    <row r="27" spans="1:255">
      <c r="A27" s="517" t="s">
        <v>449</v>
      </c>
      <c r="B27" s="591"/>
      <c r="C27" s="282"/>
      <c r="D27" s="339">
        <f>C31</f>
        <v>0</v>
      </c>
      <c r="E27" s="339">
        <f>D31</f>
        <v>503.30319590359289</v>
      </c>
      <c r="F27" s="339">
        <f t="shared" ref="F27:AB27" si="7">E31</f>
        <v>853.67978271810921</v>
      </c>
      <c r="G27" s="339">
        <f t="shared" si="7"/>
        <v>1045.8220556852839</v>
      </c>
      <c r="H27" s="339">
        <f t="shared" si="7"/>
        <v>666.35302479508425</v>
      </c>
      <c r="I27" s="339">
        <f t="shared" si="7"/>
        <v>0</v>
      </c>
      <c r="J27" s="339">
        <f t="shared" si="7"/>
        <v>0</v>
      </c>
      <c r="K27" s="339">
        <f t="shared" si="7"/>
        <v>0</v>
      </c>
      <c r="L27" s="339">
        <f t="shared" si="7"/>
        <v>0</v>
      </c>
      <c r="M27" s="339">
        <f t="shared" si="7"/>
        <v>0</v>
      </c>
      <c r="N27" s="339">
        <f t="shared" si="7"/>
        <v>0</v>
      </c>
      <c r="O27" s="339">
        <f t="shared" si="7"/>
        <v>0</v>
      </c>
      <c r="P27" s="339">
        <f t="shared" si="7"/>
        <v>0</v>
      </c>
      <c r="Q27" s="339">
        <f t="shared" si="7"/>
        <v>0</v>
      </c>
      <c r="R27" s="339">
        <f t="shared" si="7"/>
        <v>0</v>
      </c>
      <c r="S27" s="339">
        <f t="shared" si="7"/>
        <v>0</v>
      </c>
      <c r="T27" s="339">
        <f t="shared" si="7"/>
        <v>0</v>
      </c>
      <c r="U27" s="339">
        <f t="shared" si="7"/>
        <v>0</v>
      </c>
      <c r="V27" s="339">
        <f t="shared" si="7"/>
        <v>0</v>
      </c>
      <c r="W27" s="339">
        <f t="shared" si="7"/>
        <v>0</v>
      </c>
      <c r="X27" s="339">
        <f t="shared" si="7"/>
        <v>0</v>
      </c>
      <c r="Y27" s="339">
        <f t="shared" si="7"/>
        <v>0</v>
      </c>
      <c r="Z27" s="339">
        <f t="shared" si="7"/>
        <v>0</v>
      </c>
      <c r="AA27" s="339">
        <f t="shared" si="7"/>
        <v>0</v>
      </c>
      <c r="AB27" s="595">
        <f t="shared" si="7"/>
        <v>0</v>
      </c>
    </row>
    <row r="28" spans="1:255">
      <c r="A28" s="517" t="s">
        <v>450</v>
      </c>
      <c r="B28" s="591"/>
      <c r="C28" s="282"/>
      <c r="D28" s="339">
        <f>IF('Project Assumptions'!$C$67="NO",0,IF(D1&gt;ProjectLife,0,IF(D25&lt;0,-D25,0)))</f>
        <v>503.30319590359289</v>
      </c>
      <c r="E28" s="339">
        <f>IF('Project Assumptions'!$C$67="NO",0,IF(E1&gt;ProjectLife,0,IF(E25&lt;0,-E25,0)))</f>
        <v>350.37658681451637</v>
      </c>
      <c r="F28" s="339">
        <f>IF('Project Assumptions'!$C$67="NO",0,IF(F1&gt;ProjectLife,0,IF(F25&lt;0,-F25,0)))</f>
        <v>192.14227296717468</v>
      </c>
      <c r="G28" s="339">
        <f>IF('Project Assumptions'!$C$67="NO",0,IF(G1&gt;ProjectLife,0,IF(G25&lt;0,-G25,0)))</f>
        <v>0</v>
      </c>
      <c r="H28" s="339">
        <f>IF('Project Assumptions'!$C$67="NO",0,IF(H1&gt;ProjectLife,0,IF(H25&lt;0,-H25,0)))</f>
        <v>0</v>
      </c>
      <c r="I28" s="339">
        <f>IF('Project Assumptions'!$C$67="NO",0,IF(I1&gt;ProjectLife,0,IF(I25&lt;0,-I25,0)))</f>
        <v>0</v>
      </c>
      <c r="J28" s="339">
        <f>IF('Project Assumptions'!$C$67="NO",0,IF(J1&gt;ProjectLife,0,IF(J25&lt;0,-J25,0)))</f>
        <v>0</v>
      </c>
      <c r="K28" s="339">
        <f>IF('Project Assumptions'!$C$67="NO",0,IF(K1&gt;ProjectLife,0,IF(K25&lt;0,-K25,0)))</f>
        <v>0</v>
      </c>
      <c r="L28" s="339">
        <f>IF('Project Assumptions'!$C$67="NO",0,IF(L1&gt;ProjectLife,0,IF(L25&lt;0,-L25,0)))</f>
        <v>0</v>
      </c>
      <c r="M28" s="339">
        <f>IF('Project Assumptions'!$C$67="NO",0,IF(M1&gt;ProjectLife,0,IF(M25&lt;0,-M25,0)))</f>
        <v>0</v>
      </c>
      <c r="N28" s="339">
        <f>IF('Project Assumptions'!$C$67="NO",0,IF(N1&gt;ProjectLife,0,IF(N25&lt;0,-N25,0)))</f>
        <v>0</v>
      </c>
      <c r="O28" s="339">
        <f>IF('Project Assumptions'!$C$67="NO",0,IF(O1&gt;ProjectLife,0,IF(O25&lt;0,-O25,0)))</f>
        <v>0</v>
      </c>
      <c r="P28" s="339">
        <f>IF('Project Assumptions'!$C$67="NO",0,IF(P1&gt;ProjectLife,0,IF(P25&lt;0,-P25,0)))</f>
        <v>0</v>
      </c>
      <c r="Q28" s="339">
        <f>IF('Project Assumptions'!$C$67="NO",0,IF(Q1&gt;ProjectLife,0,IF(Q25&lt;0,-Q25,0)))</f>
        <v>0</v>
      </c>
      <c r="R28" s="339">
        <f>IF('Project Assumptions'!$C$67="NO",0,IF(R1&gt;ProjectLife,0,IF(R25&lt;0,-R25,0)))</f>
        <v>0</v>
      </c>
      <c r="S28" s="339">
        <f>IF('Project Assumptions'!$C$67="NO",0,IF(S1&gt;ProjectLife,0,IF(S25&lt;0,-S25,0)))</f>
        <v>0</v>
      </c>
      <c r="T28" s="339">
        <f>IF('Project Assumptions'!$C$67="NO",0,IF(T1&gt;ProjectLife,0,IF(T25&lt;0,-T25,0)))</f>
        <v>0</v>
      </c>
      <c r="U28" s="339">
        <f>IF('Project Assumptions'!$C$67="NO",0,IF(U1&gt;ProjectLife,0,IF(U25&lt;0,-U25,0)))</f>
        <v>0</v>
      </c>
      <c r="V28" s="339">
        <f>IF('Project Assumptions'!$C$67="NO",0,IF(V1&gt;ProjectLife,0,IF(V25&lt;0,-V25,0)))</f>
        <v>0</v>
      </c>
      <c r="W28" s="339">
        <f>IF('Project Assumptions'!$C$67="NO",0,IF(W1&gt;ProjectLife,0,IF(W25&lt;0,-W25,0)))</f>
        <v>0</v>
      </c>
      <c r="X28" s="339">
        <f>IF('Project Assumptions'!$C$67="NO",0,IF(X1&gt;ProjectLife,0,IF(X25&lt;0,-X25,0)))</f>
        <v>0</v>
      </c>
      <c r="Y28" s="339">
        <f>IF('Project Assumptions'!$C$67="NO",0,IF(Y1&gt;ProjectLife,0,IF(Y25&lt;0,-Y25,0)))</f>
        <v>0</v>
      </c>
      <c r="Z28" s="339">
        <f>IF('Project Assumptions'!$C$67="NO",0,IF(Z1&gt;ProjectLife,0,IF(Z25&lt;0,-Z25,0)))</f>
        <v>0</v>
      </c>
      <c r="AA28" s="339">
        <f>IF('Project Assumptions'!$C$67="NO",0,IF(AA1&gt;ProjectLife,0,IF(AA25&lt;0,-AA25,0)))</f>
        <v>0</v>
      </c>
      <c r="AB28" s="595">
        <f>IF('Project Assumptions'!$C$67="NO",0,IF(AB1&gt;ProjectLife,0,IF(AB25&lt;0,-AB25,0)))</f>
        <v>0</v>
      </c>
    </row>
    <row r="29" spans="1:255">
      <c r="A29" s="517" t="s">
        <v>451</v>
      </c>
      <c r="B29" s="591"/>
      <c r="C29" s="340" t="s">
        <v>453</v>
      </c>
      <c r="D29" s="341">
        <v>0</v>
      </c>
      <c r="E29" s="342">
        <v>0</v>
      </c>
      <c r="F29" s="342">
        <v>0</v>
      </c>
      <c r="G29" s="342">
        <v>0</v>
      </c>
      <c r="H29" s="342">
        <v>0</v>
      </c>
      <c r="I29" s="342">
        <v>0</v>
      </c>
      <c r="J29" s="342">
        <v>0</v>
      </c>
      <c r="K29" s="342">
        <v>0</v>
      </c>
      <c r="L29" s="342">
        <v>0</v>
      </c>
      <c r="M29" s="342">
        <v>0</v>
      </c>
      <c r="N29" s="342">
        <v>0</v>
      </c>
      <c r="O29" s="342">
        <v>0</v>
      </c>
      <c r="P29" s="342">
        <v>0</v>
      </c>
      <c r="Q29" s="342">
        <v>0</v>
      </c>
      <c r="R29" s="342">
        <v>0</v>
      </c>
      <c r="S29" s="342">
        <v>0</v>
      </c>
      <c r="T29" s="342">
        <v>0</v>
      </c>
      <c r="U29" s="342">
        <v>0</v>
      </c>
      <c r="V29" s="342">
        <v>0</v>
      </c>
      <c r="W29" s="343">
        <v>0</v>
      </c>
      <c r="X29" s="285">
        <f>IF(P28&gt;(SUM(Q30:W30)+SUM(P29:W29))*-1,P28-(SUM(P30:W30)+SUM(P29:W29))*-1,0)</f>
        <v>0</v>
      </c>
      <c r="Y29" s="339"/>
      <c r="Z29" s="339"/>
      <c r="AA29" s="339"/>
      <c r="AB29" s="595"/>
    </row>
    <row r="30" spans="1:255">
      <c r="A30" s="511" t="s">
        <v>92</v>
      </c>
      <c r="B30" s="596"/>
      <c r="C30" s="253"/>
      <c r="D30" s="597">
        <f>IF('Project Assumptions'!$C$67="No",0,IF(D1&lt;='Project Assumptions'!$C$67,IF(D25&lt;0,0,IF(D27&gt;D25,-D25,-D27)),0))</f>
        <v>0</v>
      </c>
      <c r="E30" s="597">
        <f>IF('Project Assumptions'!$C$67="No",0,IF(E1&lt;='Project Assumptions'!$C$67,IF(E25&lt;0,0,IF(E27&gt;E25,-E25,-E27)),0))</f>
        <v>0</v>
      </c>
      <c r="F30" s="597">
        <f>IF('Project Assumptions'!$C$67="No",0,IF(F1&lt;='Project Assumptions'!$C$67,IF(F25&lt;0,0,IF(F27&gt;F25,-F25,-F27)),0))</f>
        <v>0</v>
      </c>
      <c r="G30" s="597">
        <f>IF('Project Assumptions'!$C$67="No",0,IF(G1&lt;='Project Assumptions'!$C$67,IF(G25&lt;0,0,IF(G27&gt;G25,-G25,-G27)),0))</f>
        <v>-379.46903089019963</v>
      </c>
      <c r="H30" s="597">
        <f>IF('Project Assumptions'!$C$67="No",0,IF(H1&lt;='Project Assumptions'!$C$67,IF(H25&lt;0,0,IF(H27&gt;H25,-H25,-H27)),0))</f>
        <v>-666.35302479508425</v>
      </c>
      <c r="I30" s="597">
        <f>IF('Project Assumptions'!$C$67="No",0,IF(I1&lt;='Project Assumptions'!$C$67,IF(I25&lt;0,0,IF(I27&gt;I25,-I25,-I27)),0))</f>
        <v>0</v>
      </c>
      <c r="J30" s="597">
        <f>IF('Project Assumptions'!$C$67="No",0,IF(J1&lt;='Project Assumptions'!$C$67,IF(J25&lt;0,0,IF(J27&gt;J25,-J25,-J27)),0))</f>
        <v>0</v>
      </c>
      <c r="K30" s="597">
        <f>IF('Project Assumptions'!$C$67="No",0,IF(K1&lt;='Project Assumptions'!$C$67,IF(K25&lt;0,0,IF(K27&gt;K25,-K25,-K27)),0))</f>
        <v>0</v>
      </c>
      <c r="L30" s="597">
        <f>IF('Project Assumptions'!$C$67="No",0,IF(L1&lt;='Project Assumptions'!$C$67,IF(L25&lt;0,0,IF(L27&gt;L25,-L25,-L27)),0))</f>
        <v>0</v>
      </c>
      <c r="M30" s="597">
        <f>IF('Project Assumptions'!$C$67="No",0,IF(M1&lt;='Project Assumptions'!$C$67,IF(M25&lt;0,0,IF(M27&gt;M25,-M25,-M27)),0))</f>
        <v>0</v>
      </c>
      <c r="N30" s="597">
        <f>IF('Project Assumptions'!$C$67="No",0,IF(N1&lt;='Project Assumptions'!$C$67,IF(N25&lt;0,0,IF(N27&gt;N25,-N25,-N27)),0))</f>
        <v>0</v>
      </c>
      <c r="O30" s="597">
        <f>IF('Project Assumptions'!$C$67="No",0,IF(O1&lt;='Project Assumptions'!$C$67,IF(O25&lt;0,0,IF(O27&gt;O25,-O25,-O27)),0))</f>
        <v>0</v>
      </c>
      <c r="P30" s="597">
        <f>IF('Project Assumptions'!$C$67="No",0,IF(P1&lt;='Project Assumptions'!$C$67,IF(P25&lt;0,0,IF(P27&gt;P25,-P25,-P27)),0))</f>
        <v>0</v>
      </c>
      <c r="Q30" s="597">
        <f>IF('Project Assumptions'!$C$67="No",0,IF(Q1&lt;='Project Assumptions'!$C$67,IF(Q25&lt;0,0,IF(Q27&gt;Q25,-Q25,-Q27)),0))</f>
        <v>0</v>
      </c>
      <c r="R30" s="597">
        <f>IF('Project Assumptions'!$C$67="No",0,IF(R1&lt;='Project Assumptions'!$C$67,IF(R25&lt;0,0,IF(R27&gt;R25,-R25,-R27)),0))</f>
        <v>0</v>
      </c>
      <c r="S30" s="597">
        <f>IF('Project Assumptions'!$C$67="No",0,IF(S1&lt;='Project Assumptions'!$C$67,IF(S25&lt;0,0,IF(S27&gt;S25,-S25,-S27)),0))</f>
        <v>0</v>
      </c>
      <c r="T30" s="597">
        <f>IF('Project Assumptions'!$C$67="No",0,IF(T1&lt;='Project Assumptions'!$C$67,IF(T25&lt;0,0,IF(T27&gt;T25,-T25,-T27)),0))</f>
        <v>0</v>
      </c>
      <c r="U30" s="597">
        <f>IF('Project Assumptions'!$C$67="No",0,IF(U1&lt;='Project Assumptions'!$C$67,IF(U25&lt;0,0,IF(U27&gt;U25,-U25,-U27)),0))</f>
        <v>0</v>
      </c>
      <c r="V30" s="597">
        <f>IF('Project Assumptions'!$C$67="No",0,IF(V1&lt;='Project Assumptions'!$C$67,IF(V25&lt;0,0,IF(V27&gt;V25,-V25,-V27)),0))</f>
        <v>0</v>
      </c>
      <c r="W30" s="597">
        <f>IF('Project Assumptions'!$C$67="No",0,IF(W1&lt;='Project Assumptions'!$C$67,IF(W25&lt;0,0,IF(W27&gt;W25,-W25,-W27)),0))</f>
        <v>0</v>
      </c>
      <c r="X30" s="597">
        <f>IF('Project Assumptions'!$C$67="No",0,IF(X1&lt;='Project Assumptions'!$C$67,IF(X25&lt;0,0,IF(X27&gt;X25,-X25,-X27)),0))</f>
        <v>0</v>
      </c>
      <c r="Y30" s="597">
        <f>IF('Project Assumptions'!$C$67="No",0,IF(Y1&lt;='Project Assumptions'!$C$67,IF(Y25&lt;0,0,IF(Y27&gt;Y25,-Y25,-Y27)),0))</f>
        <v>0</v>
      </c>
      <c r="Z30" s="597">
        <f>IF('Project Assumptions'!$C$67="No",0,IF(Z1&lt;='Project Assumptions'!$C$67,IF(Z25&lt;0,0,IF(Z27&gt;Z25,-Z25,-Z27)),0))</f>
        <v>0</v>
      </c>
      <c r="AA30" s="597">
        <f>IF('Project Assumptions'!$C$67="No",0,IF(AA1&lt;='Project Assumptions'!$C$67,IF(AA25&lt;0,0,IF(AA27&gt;AA25,-AA25,-AA27)),0))</f>
        <v>0</v>
      </c>
      <c r="AB30" s="598">
        <f>IF('Project Assumptions'!$C$67="No",0,IF(AB1&lt;='Project Assumptions'!$C$67,IF(AB25&lt;0,0,IF(AB27&gt;AB25,-AB25,-AB27)),0))</f>
        <v>0</v>
      </c>
    </row>
    <row r="31" spans="1:255">
      <c r="A31" s="511" t="s">
        <v>452</v>
      </c>
      <c r="B31" s="596"/>
      <c r="C31" s="253"/>
      <c r="D31" s="597">
        <f t="shared" ref="D31:AB31" si="8">SUM(D27:D30)</f>
        <v>503.30319590359289</v>
      </c>
      <c r="E31" s="597">
        <f t="shared" si="8"/>
        <v>853.67978271810921</v>
      </c>
      <c r="F31" s="597">
        <f t="shared" si="8"/>
        <v>1045.8220556852839</v>
      </c>
      <c r="G31" s="597">
        <f t="shared" si="8"/>
        <v>666.35302479508425</v>
      </c>
      <c r="H31" s="597">
        <f t="shared" si="8"/>
        <v>0</v>
      </c>
      <c r="I31" s="597">
        <f t="shared" si="8"/>
        <v>0</v>
      </c>
      <c r="J31" s="597">
        <f t="shared" si="8"/>
        <v>0</v>
      </c>
      <c r="K31" s="597">
        <f t="shared" si="8"/>
        <v>0</v>
      </c>
      <c r="L31" s="597">
        <f t="shared" si="8"/>
        <v>0</v>
      </c>
      <c r="M31" s="597">
        <f t="shared" si="8"/>
        <v>0</v>
      </c>
      <c r="N31" s="597">
        <f t="shared" si="8"/>
        <v>0</v>
      </c>
      <c r="O31" s="597">
        <f t="shared" si="8"/>
        <v>0</v>
      </c>
      <c r="P31" s="597">
        <f t="shared" si="8"/>
        <v>0</v>
      </c>
      <c r="Q31" s="597">
        <f t="shared" si="8"/>
        <v>0</v>
      </c>
      <c r="R31" s="597">
        <f t="shared" si="8"/>
        <v>0</v>
      </c>
      <c r="S31" s="597">
        <f t="shared" si="8"/>
        <v>0</v>
      </c>
      <c r="T31" s="597">
        <f t="shared" si="8"/>
        <v>0</v>
      </c>
      <c r="U31" s="597">
        <f t="shared" si="8"/>
        <v>0</v>
      </c>
      <c r="V31" s="597">
        <f t="shared" si="8"/>
        <v>0</v>
      </c>
      <c r="W31" s="597">
        <f t="shared" si="8"/>
        <v>0</v>
      </c>
      <c r="X31" s="597">
        <f t="shared" si="8"/>
        <v>0</v>
      </c>
      <c r="Y31" s="597">
        <f t="shared" si="8"/>
        <v>0</v>
      </c>
      <c r="Z31" s="597">
        <f t="shared" si="8"/>
        <v>0</v>
      </c>
      <c r="AA31" s="597">
        <f t="shared" si="8"/>
        <v>0</v>
      </c>
      <c r="AB31" s="598">
        <f t="shared" si="8"/>
        <v>0</v>
      </c>
    </row>
    <row r="32" spans="1:255">
      <c r="A32" s="511"/>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524"/>
    </row>
    <row r="33" spans="1:255" ht="12.75">
      <c r="A33" s="344" t="s">
        <v>485</v>
      </c>
      <c r="B33" s="417"/>
      <c r="C33" s="345"/>
      <c r="D33" s="346">
        <f>IF(D25&lt;0,0,D25+D30)</f>
        <v>0</v>
      </c>
      <c r="E33" s="346">
        <f t="shared" ref="E33:AB33" si="9">IF(E25&lt;0,0,E25+E30)</f>
        <v>0</v>
      </c>
      <c r="F33" s="346">
        <f t="shared" si="9"/>
        <v>0</v>
      </c>
      <c r="G33" s="346">
        <f t="shared" si="9"/>
        <v>0</v>
      </c>
      <c r="H33" s="346">
        <f t="shared" si="9"/>
        <v>198.60706978358144</v>
      </c>
      <c r="I33" s="346">
        <f t="shared" si="9"/>
        <v>1042.6914476751504</v>
      </c>
      <c r="J33" s="346">
        <f t="shared" si="9"/>
        <v>1161.4857422837661</v>
      </c>
      <c r="K33" s="346">
        <f t="shared" si="9"/>
        <v>1277.9056363269269</v>
      </c>
      <c r="L33" s="346">
        <f t="shared" si="9"/>
        <v>1341.821068446551</v>
      </c>
      <c r="M33" s="346">
        <f t="shared" si="9"/>
        <v>1485.8251499216251</v>
      </c>
      <c r="N33" s="346">
        <f t="shared" si="9"/>
        <v>1590.9193511727583</v>
      </c>
      <c r="O33" s="346">
        <f t="shared" si="9"/>
        <v>1693.849373590843</v>
      </c>
      <c r="P33" s="346">
        <f t="shared" si="9"/>
        <v>1741.9846582716671</v>
      </c>
      <c r="Q33" s="346">
        <f t="shared" si="9"/>
        <v>1786.0209339065677</v>
      </c>
      <c r="R33" s="346">
        <f t="shared" si="9"/>
        <v>1831.5358116974892</v>
      </c>
      <c r="S33" s="346">
        <f t="shared" si="9"/>
        <v>2292.6254291180421</v>
      </c>
      <c r="T33" s="346">
        <f t="shared" si="9"/>
        <v>2752.1499165046803</v>
      </c>
      <c r="U33" s="346">
        <f t="shared" si="9"/>
        <v>2815.3747370118849</v>
      </c>
      <c r="V33" s="346">
        <f t="shared" si="9"/>
        <v>2886.339055873802</v>
      </c>
      <c r="W33" s="346">
        <f t="shared" si="9"/>
        <v>2969.6871103047347</v>
      </c>
      <c r="X33" s="346">
        <f t="shared" si="9"/>
        <v>1118.1313435893853</v>
      </c>
      <c r="Y33" s="346">
        <f t="shared" si="9"/>
        <v>0</v>
      </c>
      <c r="Z33" s="346">
        <f t="shared" si="9"/>
        <v>0</v>
      </c>
      <c r="AA33" s="346">
        <f t="shared" si="9"/>
        <v>0</v>
      </c>
      <c r="AB33" s="347">
        <f t="shared" si="9"/>
        <v>0</v>
      </c>
      <c r="AC33"/>
      <c r="AD33" s="293"/>
    </row>
    <row r="36" spans="1:255" s="17" customFormat="1" ht="12" customHeight="1">
      <c r="A36" s="269"/>
      <c r="B36" s="253"/>
      <c r="D36" s="274"/>
      <c r="E36" s="274"/>
      <c r="F36" s="274"/>
      <c r="G36" s="274"/>
      <c r="H36" s="274"/>
      <c r="I36" s="274"/>
      <c r="J36" s="274"/>
      <c r="K36" s="274"/>
      <c r="L36" s="274"/>
      <c r="M36" s="274"/>
      <c r="N36" s="274"/>
      <c r="O36" s="274"/>
      <c r="P36" s="274"/>
      <c r="Q36" s="274"/>
      <c r="R36" s="274"/>
      <c r="S36" s="274"/>
      <c r="T36" s="274"/>
      <c r="U36" s="274"/>
      <c r="V36" s="274"/>
      <c r="W36" s="274"/>
      <c r="X36" s="274"/>
      <c r="Y36" s="274"/>
      <c r="Z36" s="274"/>
      <c r="AA36" s="274"/>
      <c r="AB36" s="274"/>
      <c r="AC36" s="253"/>
      <c r="AD36" s="253"/>
      <c r="AE36" s="286"/>
      <c r="AF36" s="286"/>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row>
    <row r="37" spans="1:255" ht="12" customHeight="1">
      <c r="A37" s="599" t="s">
        <v>181</v>
      </c>
      <c r="B37" s="534"/>
      <c r="C37" s="534"/>
      <c r="D37" s="534"/>
      <c r="E37" s="534"/>
      <c r="F37" s="534"/>
      <c r="G37" s="534"/>
      <c r="H37" s="534"/>
      <c r="I37" s="534"/>
      <c r="J37" s="534"/>
      <c r="K37" s="534"/>
      <c r="L37" s="534"/>
      <c r="M37" s="534"/>
      <c r="N37" s="534"/>
      <c r="O37" s="534"/>
      <c r="P37" s="534"/>
      <c r="Q37" s="534"/>
      <c r="R37" s="534"/>
      <c r="S37" s="534"/>
      <c r="T37" s="534"/>
      <c r="U37" s="534"/>
      <c r="V37" s="534"/>
      <c r="W37" s="534"/>
      <c r="X37" s="534"/>
      <c r="Y37" s="534"/>
      <c r="Z37" s="534"/>
      <c r="AA37" s="534"/>
      <c r="AB37" s="507"/>
      <c r="AC37" s="253"/>
      <c r="AD37" s="253"/>
    </row>
    <row r="38" spans="1:255" ht="12" customHeight="1">
      <c r="A38" s="517" t="s">
        <v>93</v>
      </c>
      <c r="B38" s="253"/>
      <c r="C38" s="253"/>
      <c r="D38" s="294">
        <f>D18</f>
        <v>-512.68056633142987</v>
      </c>
      <c r="E38" s="294">
        <f t="shared" ref="E38:AB38" si="10">E18</f>
        <v>6928.9395339149505</v>
      </c>
      <c r="F38" s="294">
        <f t="shared" si="10"/>
        <v>7213.5262874130331</v>
      </c>
      <c r="G38" s="294">
        <f t="shared" si="10"/>
        <v>12680.680583850901</v>
      </c>
      <c r="H38" s="294">
        <f t="shared" si="10"/>
        <v>17241.503070071703</v>
      </c>
      <c r="I38" s="294">
        <f t="shared" si="10"/>
        <v>18192.260974544246</v>
      </c>
      <c r="J38" s="294">
        <f t="shared" si="10"/>
        <v>19064.79852698504</v>
      </c>
      <c r="K38" s="294">
        <f t="shared" si="10"/>
        <v>20493.142493911233</v>
      </c>
      <c r="L38" s="294">
        <f t="shared" si="10"/>
        <v>21250.681268352131</v>
      </c>
      <c r="M38" s="294">
        <f t="shared" si="10"/>
        <v>23013.379022331817</v>
      </c>
      <c r="N38" s="294">
        <f t="shared" si="10"/>
        <v>24270.054392306156</v>
      </c>
      <c r="O38" s="294">
        <f t="shared" si="10"/>
        <v>25534.884763776881</v>
      </c>
      <c r="P38" s="294">
        <f t="shared" si="10"/>
        <v>26101.149023808081</v>
      </c>
      <c r="Q38" s="294">
        <f t="shared" si="10"/>
        <v>26652.115797906878</v>
      </c>
      <c r="R38" s="294">
        <f t="shared" si="10"/>
        <v>27186.617550181687</v>
      </c>
      <c r="S38" s="294">
        <f t="shared" si="10"/>
        <v>27703.430460324751</v>
      </c>
      <c r="T38" s="294">
        <f t="shared" si="10"/>
        <v>28201.272097329456</v>
      </c>
      <c r="U38" s="294">
        <f t="shared" si="10"/>
        <v>28967.633558022848</v>
      </c>
      <c r="V38" s="294">
        <f t="shared" si="10"/>
        <v>29827.807119985475</v>
      </c>
      <c r="W38" s="294">
        <f t="shared" si="10"/>
        <v>30838.086567633141</v>
      </c>
      <c r="X38" s="294">
        <f t="shared" si="10"/>
        <v>8394.9863650228526</v>
      </c>
      <c r="Y38" s="294">
        <f t="shared" si="10"/>
        <v>0</v>
      </c>
      <c r="Z38" s="294">
        <f t="shared" si="10"/>
        <v>0</v>
      </c>
      <c r="AA38" s="294">
        <f t="shared" si="10"/>
        <v>0</v>
      </c>
      <c r="AB38" s="600">
        <f t="shared" si="10"/>
        <v>0</v>
      </c>
      <c r="AC38" s="294"/>
      <c r="AD38" s="294"/>
    </row>
    <row r="39" spans="1:255" ht="12" customHeight="1">
      <c r="A39" s="517" t="s">
        <v>36</v>
      </c>
      <c r="B39" s="253"/>
      <c r="C39" s="253"/>
      <c r="D39" s="283">
        <f>D19</f>
        <v>3246.9725341666667</v>
      </c>
      <c r="E39" s="283">
        <f t="shared" ref="E39:AB39" si="11">E19</f>
        <v>5566.2386299999998</v>
      </c>
      <c r="F39" s="283">
        <f t="shared" si="11"/>
        <v>5566.2386299999998</v>
      </c>
      <c r="G39" s="283">
        <f t="shared" si="11"/>
        <v>5566.2386299999998</v>
      </c>
      <c r="H39" s="283">
        <f t="shared" si="11"/>
        <v>5566.2386299999998</v>
      </c>
      <c r="I39" s="283">
        <f t="shared" si="11"/>
        <v>5328.1699133333332</v>
      </c>
      <c r="J39" s="283">
        <f t="shared" si="11"/>
        <v>5158.1208299999998</v>
      </c>
      <c r="K39" s="283">
        <f t="shared" si="11"/>
        <v>5158.1208299999998</v>
      </c>
      <c r="L39" s="283">
        <f t="shared" si="11"/>
        <v>5158.1208299999998</v>
      </c>
      <c r="M39" s="283">
        <f t="shared" si="11"/>
        <v>5158.1208299999998</v>
      </c>
      <c r="N39" s="283">
        <f t="shared" si="11"/>
        <v>5158.1208299999998</v>
      </c>
      <c r="O39" s="283">
        <f t="shared" si="11"/>
        <v>5158.1208299999998</v>
      </c>
      <c r="P39" s="283">
        <f t="shared" si="11"/>
        <v>5158.1208299999998</v>
      </c>
      <c r="Q39" s="283">
        <f t="shared" si="11"/>
        <v>5158.1208299999998</v>
      </c>
      <c r="R39" s="283">
        <f t="shared" si="11"/>
        <v>5158.1208299999998</v>
      </c>
      <c r="S39" s="283">
        <f t="shared" si="11"/>
        <v>5158.1208299999998</v>
      </c>
      <c r="T39" s="283">
        <f t="shared" si="11"/>
        <v>5158.1208299999998</v>
      </c>
      <c r="U39" s="283">
        <f t="shared" si="11"/>
        <v>5158.1208299999998</v>
      </c>
      <c r="V39" s="283">
        <f t="shared" si="11"/>
        <v>5158.1208299999998</v>
      </c>
      <c r="W39" s="283">
        <f t="shared" si="11"/>
        <v>5158.1208299999998</v>
      </c>
      <c r="X39" s="283">
        <f t="shared" si="11"/>
        <v>5158.1208299999998</v>
      </c>
      <c r="Y39" s="283">
        <f t="shared" si="11"/>
        <v>0</v>
      </c>
      <c r="Z39" s="283">
        <f t="shared" si="11"/>
        <v>0</v>
      </c>
      <c r="AA39" s="283">
        <f t="shared" si="11"/>
        <v>0</v>
      </c>
      <c r="AB39" s="601">
        <f t="shared" si="11"/>
        <v>0</v>
      </c>
      <c r="AC39" s="284"/>
      <c r="AD39" s="284"/>
    </row>
    <row r="40" spans="1:255" s="17" customFormat="1" ht="12" customHeight="1">
      <c r="A40" s="565"/>
      <c r="B40" s="296"/>
      <c r="C40" s="31"/>
      <c r="D40" s="285">
        <f t="shared" ref="D40:AB40" si="12">SUM(D38:D39)</f>
        <v>2734.2919678352368</v>
      </c>
      <c r="E40" s="285">
        <f t="shared" si="12"/>
        <v>12495.17816391495</v>
      </c>
      <c r="F40" s="285">
        <f t="shared" si="12"/>
        <v>12779.764917413033</v>
      </c>
      <c r="G40" s="285">
        <f t="shared" si="12"/>
        <v>18246.919213850902</v>
      </c>
      <c r="H40" s="285">
        <f t="shared" si="12"/>
        <v>22807.741700071703</v>
      </c>
      <c r="I40" s="285">
        <f t="shared" si="12"/>
        <v>23520.430887877577</v>
      </c>
      <c r="J40" s="285">
        <f t="shared" si="12"/>
        <v>24222.919356985039</v>
      </c>
      <c r="K40" s="285">
        <f t="shared" si="12"/>
        <v>25651.263323911233</v>
      </c>
      <c r="L40" s="285">
        <f t="shared" si="12"/>
        <v>26408.802098352131</v>
      </c>
      <c r="M40" s="285">
        <f t="shared" si="12"/>
        <v>28171.499852331817</v>
      </c>
      <c r="N40" s="285">
        <f t="shared" si="12"/>
        <v>29428.175222306156</v>
      </c>
      <c r="O40" s="285">
        <f t="shared" si="12"/>
        <v>30693.005593776881</v>
      </c>
      <c r="P40" s="285">
        <f t="shared" si="12"/>
        <v>31259.26985380808</v>
      </c>
      <c r="Q40" s="285">
        <f t="shared" si="12"/>
        <v>31810.236627906877</v>
      </c>
      <c r="R40" s="285">
        <f t="shared" si="12"/>
        <v>32344.738380181687</v>
      </c>
      <c r="S40" s="285">
        <f t="shared" si="12"/>
        <v>32861.551290324751</v>
      </c>
      <c r="T40" s="285">
        <f t="shared" si="12"/>
        <v>33359.392927329456</v>
      </c>
      <c r="U40" s="285">
        <f t="shared" si="12"/>
        <v>34125.754388022848</v>
      </c>
      <c r="V40" s="285">
        <f t="shared" si="12"/>
        <v>34985.927949985475</v>
      </c>
      <c r="W40" s="285">
        <f t="shared" si="12"/>
        <v>35996.207397633145</v>
      </c>
      <c r="X40" s="285">
        <f t="shared" si="12"/>
        <v>13553.107195022852</v>
      </c>
      <c r="Y40" s="285">
        <f t="shared" si="12"/>
        <v>0</v>
      </c>
      <c r="Z40" s="285">
        <f t="shared" si="12"/>
        <v>0</v>
      </c>
      <c r="AA40" s="285">
        <f t="shared" si="12"/>
        <v>0</v>
      </c>
      <c r="AB40" s="519">
        <f t="shared" si="12"/>
        <v>0</v>
      </c>
      <c r="AC40" s="285"/>
      <c r="AD40" s="285"/>
      <c r="AE40" s="250"/>
      <c r="AF40" s="250"/>
    </row>
    <row r="41" spans="1:255" s="17" customFormat="1" ht="12" customHeight="1">
      <c r="A41" s="517" t="s">
        <v>456</v>
      </c>
      <c r="B41" s="296"/>
      <c r="C41" s="31"/>
      <c r="D41" s="285">
        <f>IF(D3&lt;='Project Assumptions'!$I$15,Depreciation!D15*-1,0)</f>
        <v>-8834.9367666666658</v>
      </c>
      <c r="E41" s="285">
        <f>IF(E3&lt;='Project Assumptions'!$I$15,Depreciation!E15*-1,0)</f>
        <v>-16742.167094999997</v>
      </c>
      <c r="F41" s="285">
        <f>IF(F3&lt;='Project Assumptions'!$I$15,Depreciation!F15*-1,0)</f>
        <v>-15108.762165499998</v>
      </c>
      <c r="G41" s="285">
        <f>IF(G3&lt;='Project Assumptions'!$I$15,Depreciation!G15*-1,0)</f>
        <v>-13647.294596999998</v>
      </c>
      <c r="H41" s="285">
        <f>IF(H3&lt;='Project Assumptions'!$I$15,Depreciation!H15*-1,0)</f>
        <v>-12323.376917299998</v>
      </c>
      <c r="I41" s="285">
        <f>IF(I3&lt;='Project Assumptions'!$I$15,Depreciation!I15*-1,0)</f>
        <v>-10881.746673633332</v>
      </c>
      <c r="J41" s="285">
        <f>IF(J3&lt;='Project Assumptions'!$I$15,Depreciation!J15*-1,0)</f>
        <v>-10144.304298999998</v>
      </c>
      <c r="K41" s="285">
        <f>IF(K3&lt;='Project Assumptions'!$I$15,Depreciation!K15*-1,0)</f>
        <v>-10161.498035099998</v>
      </c>
      <c r="L41" s="285">
        <f>IF(L3&lt;='Project Assumptions'!$I$15,Depreciation!L15*-1,0)</f>
        <v>-10144.304298999998</v>
      </c>
      <c r="M41" s="285">
        <f>IF(M3&lt;='Project Assumptions'!$I$15,Depreciation!M15*-1,0)</f>
        <v>-10161.498035099998</v>
      </c>
      <c r="N41" s="285">
        <f>IF(N3&lt;='Project Assumptions'!$I$15,Depreciation!N15*-1,0)</f>
        <v>-10144.304298999998</v>
      </c>
      <c r="O41" s="285">
        <f>IF(O3&lt;='Project Assumptions'!$I$15,Depreciation!O15*-1,0)</f>
        <v>-10161.498035099998</v>
      </c>
      <c r="P41" s="285">
        <f>IF(P3&lt;='Project Assumptions'!$I$15,Depreciation!P15*-1,0)</f>
        <v>-10144.304298999998</v>
      </c>
      <c r="Q41" s="285">
        <f>IF(Q3&lt;='Project Assumptions'!$I$15,Depreciation!Q15*-1,0)</f>
        <v>-10161.498035099998</v>
      </c>
      <c r="R41" s="285">
        <f>IF(R3&lt;='Project Assumptions'!$I$15,Depreciation!R15*-1,0)</f>
        <v>-10144.304298999998</v>
      </c>
      <c r="S41" s="285">
        <f>IF(S3&lt;='Project Assumptions'!$I$15,Depreciation!S15*-1,0)</f>
        <v>-5072.1521494999988</v>
      </c>
      <c r="T41" s="285">
        <f>IF(T3&lt;='Project Assumptions'!$I$15,Depreciation!T15*-1,0)</f>
        <v>0</v>
      </c>
      <c r="U41" s="285">
        <f>IF(U3&lt;='Project Assumptions'!$I$15,Depreciation!U15*-1,0)</f>
        <v>0</v>
      </c>
      <c r="V41" s="285">
        <f>IF(V3&lt;='Project Assumptions'!$I$15,Depreciation!V15*-1,0)</f>
        <v>0</v>
      </c>
      <c r="W41" s="285">
        <f>IF(W3&lt;='Project Assumptions'!$I$15,Depreciation!W15*-1,0)</f>
        <v>0</v>
      </c>
      <c r="X41" s="285">
        <f>IF(X3&lt;='Project Assumptions'!$I$15+1,Depreciation!X15*-1,0)</f>
        <v>0</v>
      </c>
      <c r="Y41" s="285">
        <f>IF(Y3&lt;='Project Assumptions'!$I$15,Depreciation!Y15*-1,0)</f>
        <v>0</v>
      </c>
      <c r="Z41" s="285">
        <f>IF(Z3&lt;='Project Assumptions'!$I$15,Depreciation!Z15*-1,0)</f>
        <v>0</v>
      </c>
      <c r="AA41" s="285">
        <f>IF(AA3&lt;='Project Assumptions'!$I$15,Depreciation!AA15*-1,0)</f>
        <v>0</v>
      </c>
      <c r="AB41" s="519">
        <f>IF(AB3&lt;='Project Assumptions'!$I$15,Depreciation!AB15*-1,0)</f>
        <v>0</v>
      </c>
      <c r="AC41" s="285"/>
      <c r="AD41" s="285"/>
      <c r="AE41" s="250"/>
      <c r="AF41" s="250"/>
    </row>
    <row r="42" spans="1:255" ht="13.5">
      <c r="A42" s="511" t="s">
        <v>457</v>
      </c>
      <c r="B42" s="253"/>
      <c r="C42" s="253"/>
      <c r="D42" s="283">
        <f>-D33</f>
        <v>0</v>
      </c>
      <c r="E42" s="283">
        <f t="shared" ref="E42:AB42" si="13">-E33</f>
        <v>0</v>
      </c>
      <c r="F42" s="283">
        <f t="shared" si="13"/>
        <v>0</v>
      </c>
      <c r="G42" s="283">
        <f t="shared" si="13"/>
        <v>0</v>
      </c>
      <c r="H42" s="283">
        <f t="shared" si="13"/>
        <v>-198.60706978358144</v>
      </c>
      <c r="I42" s="283">
        <f t="shared" si="13"/>
        <v>-1042.6914476751504</v>
      </c>
      <c r="J42" s="283">
        <f t="shared" si="13"/>
        <v>-1161.4857422837661</v>
      </c>
      <c r="K42" s="283">
        <f t="shared" si="13"/>
        <v>-1277.9056363269269</v>
      </c>
      <c r="L42" s="283">
        <f t="shared" si="13"/>
        <v>-1341.821068446551</v>
      </c>
      <c r="M42" s="283">
        <f t="shared" si="13"/>
        <v>-1485.8251499216251</v>
      </c>
      <c r="N42" s="283">
        <f t="shared" si="13"/>
        <v>-1590.9193511727583</v>
      </c>
      <c r="O42" s="283">
        <f t="shared" si="13"/>
        <v>-1693.849373590843</v>
      </c>
      <c r="P42" s="283">
        <f t="shared" si="13"/>
        <v>-1741.9846582716671</v>
      </c>
      <c r="Q42" s="283">
        <f t="shared" si="13"/>
        <v>-1786.0209339065677</v>
      </c>
      <c r="R42" s="283">
        <f t="shared" si="13"/>
        <v>-1831.5358116974892</v>
      </c>
      <c r="S42" s="283">
        <f t="shared" si="13"/>
        <v>-2292.6254291180421</v>
      </c>
      <c r="T42" s="283">
        <f t="shared" si="13"/>
        <v>-2752.1499165046803</v>
      </c>
      <c r="U42" s="283">
        <f t="shared" si="13"/>
        <v>-2815.3747370118849</v>
      </c>
      <c r="V42" s="283">
        <f t="shared" si="13"/>
        <v>-2886.339055873802</v>
      </c>
      <c r="W42" s="283">
        <f t="shared" si="13"/>
        <v>-2969.6871103047347</v>
      </c>
      <c r="X42" s="283">
        <f t="shared" si="13"/>
        <v>-1118.1313435893853</v>
      </c>
      <c r="Y42" s="283">
        <f t="shared" si="13"/>
        <v>0</v>
      </c>
      <c r="Z42" s="283">
        <f t="shared" si="13"/>
        <v>0</v>
      </c>
      <c r="AA42" s="283">
        <f t="shared" si="13"/>
        <v>0</v>
      </c>
      <c r="AB42" s="601">
        <f t="shared" si="13"/>
        <v>0</v>
      </c>
    </row>
    <row r="43" spans="1:255" s="17" customFormat="1" ht="12" customHeight="1">
      <c r="A43" s="513" t="s">
        <v>89</v>
      </c>
      <c r="B43" s="254"/>
      <c r="C43" s="338"/>
      <c r="D43" s="348">
        <f t="shared" ref="D43:AB43" si="14">SUM(D40:D42)</f>
        <v>-6100.6447988314285</v>
      </c>
      <c r="E43" s="348">
        <f t="shared" si="14"/>
        <v>-4246.9889310850467</v>
      </c>
      <c r="F43" s="348">
        <f t="shared" si="14"/>
        <v>-2328.9972480869656</v>
      </c>
      <c r="G43" s="348">
        <f t="shared" si="14"/>
        <v>4599.6246168509042</v>
      </c>
      <c r="H43" s="348">
        <f t="shared" si="14"/>
        <v>10285.757712988123</v>
      </c>
      <c r="I43" s="348">
        <f t="shared" si="14"/>
        <v>11595.992766569096</v>
      </c>
      <c r="J43" s="348">
        <f t="shared" si="14"/>
        <v>12917.129315701275</v>
      </c>
      <c r="K43" s="348">
        <f t="shared" si="14"/>
        <v>14211.859652484309</v>
      </c>
      <c r="L43" s="348">
        <f t="shared" si="14"/>
        <v>14922.676730905583</v>
      </c>
      <c r="M43" s="348">
        <f t="shared" si="14"/>
        <v>16524.176667310196</v>
      </c>
      <c r="N43" s="348">
        <f t="shared" si="14"/>
        <v>17692.951572133403</v>
      </c>
      <c r="O43" s="348">
        <f t="shared" si="14"/>
        <v>18837.658185086042</v>
      </c>
      <c r="P43" s="348">
        <f t="shared" si="14"/>
        <v>19372.980896536417</v>
      </c>
      <c r="Q43" s="348">
        <f t="shared" si="14"/>
        <v>19862.717658900314</v>
      </c>
      <c r="R43" s="348">
        <f t="shared" si="14"/>
        <v>20368.898269484198</v>
      </c>
      <c r="S43" s="348">
        <f t="shared" si="14"/>
        <v>25496.773711706712</v>
      </c>
      <c r="T43" s="348">
        <f t="shared" si="14"/>
        <v>30607.243010824775</v>
      </c>
      <c r="U43" s="348">
        <f t="shared" si="14"/>
        <v>31310.379651010964</v>
      </c>
      <c r="V43" s="348">
        <f t="shared" si="14"/>
        <v>32099.588894111672</v>
      </c>
      <c r="W43" s="348">
        <f t="shared" si="14"/>
        <v>33026.520287328407</v>
      </c>
      <c r="X43" s="348">
        <f t="shared" si="14"/>
        <v>12434.975851433468</v>
      </c>
      <c r="Y43" s="348">
        <f t="shared" si="14"/>
        <v>0</v>
      </c>
      <c r="Z43" s="348">
        <f t="shared" si="14"/>
        <v>0</v>
      </c>
      <c r="AA43" s="348">
        <f t="shared" si="14"/>
        <v>0</v>
      </c>
      <c r="AB43" s="602">
        <f t="shared" si="14"/>
        <v>0</v>
      </c>
      <c r="AC43" s="285"/>
      <c r="AD43" s="285"/>
      <c r="AE43" s="250"/>
      <c r="AF43" s="250"/>
    </row>
    <row r="44" spans="1:255" ht="12" customHeight="1">
      <c r="A44" s="517"/>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524"/>
      <c r="AC44" s="253"/>
      <c r="AD44" s="253"/>
    </row>
    <row r="45" spans="1:255" ht="12" customHeight="1">
      <c r="A45" s="517" t="s">
        <v>458</v>
      </c>
      <c r="B45" s="253"/>
      <c r="C45" s="253"/>
      <c r="D45" s="603">
        <f>IF(D3&gt;ProjectLife,0,'Project Assumptions'!$N$62)</f>
        <v>0.35</v>
      </c>
      <c r="E45" s="603">
        <f>IF(E3&gt;ProjectLife,0,'Project Assumptions'!$N$62)</f>
        <v>0.35</v>
      </c>
      <c r="F45" s="603">
        <f>IF(F3&gt;ProjectLife,0,'Project Assumptions'!$N$62)</f>
        <v>0.35</v>
      </c>
      <c r="G45" s="603">
        <f>IF(G3&gt;ProjectLife,0,'Project Assumptions'!$N$62)</f>
        <v>0.35</v>
      </c>
      <c r="H45" s="603">
        <f>IF(H3&gt;ProjectLife,0,'Project Assumptions'!$N$62)</f>
        <v>0.35</v>
      </c>
      <c r="I45" s="603">
        <f>IF(I3&gt;ProjectLife,0,'Project Assumptions'!$N$62)</f>
        <v>0.35</v>
      </c>
      <c r="J45" s="603">
        <f>IF(J3&gt;ProjectLife,0,'Project Assumptions'!$N$62)</f>
        <v>0.35</v>
      </c>
      <c r="K45" s="603">
        <f>IF(K3&gt;ProjectLife,0,'Project Assumptions'!$N$62)</f>
        <v>0.35</v>
      </c>
      <c r="L45" s="603">
        <f>IF(L3&gt;ProjectLife,0,'Project Assumptions'!$N$62)</f>
        <v>0.35</v>
      </c>
      <c r="M45" s="603">
        <f>IF(M3&gt;ProjectLife,0,'Project Assumptions'!$N$62)</f>
        <v>0.35</v>
      </c>
      <c r="N45" s="603">
        <f>IF(N3&gt;ProjectLife,0,'Project Assumptions'!$N$62)</f>
        <v>0.35</v>
      </c>
      <c r="O45" s="603">
        <f>IF(O3&gt;ProjectLife,0,'Project Assumptions'!$N$62)</f>
        <v>0.35</v>
      </c>
      <c r="P45" s="603">
        <f>IF(P3&gt;ProjectLife,0,'Project Assumptions'!$N$62)</f>
        <v>0.35</v>
      </c>
      <c r="Q45" s="603">
        <f>IF(Q3&gt;ProjectLife,0,'Project Assumptions'!$N$62)</f>
        <v>0.35</v>
      </c>
      <c r="R45" s="603">
        <f>IF(R3&gt;ProjectLife,0,'Project Assumptions'!$N$62)</f>
        <v>0.35</v>
      </c>
      <c r="S45" s="603">
        <f>IF(S3&gt;ProjectLife,0,'Project Assumptions'!$N$62)</f>
        <v>0.35</v>
      </c>
      <c r="T45" s="603">
        <f>IF(T3&gt;ProjectLife,0,'Project Assumptions'!$N$62)</f>
        <v>0.35</v>
      </c>
      <c r="U45" s="603">
        <f>IF(U3&gt;ProjectLife,0,'Project Assumptions'!$N$62)</f>
        <v>0.35</v>
      </c>
      <c r="V45" s="603">
        <f>IF(V3&gt;ProjectLife,0,'Project Assumptions'!$N$62)</f>
        <v>0.35</v>
      </c>
      <c r="W45" s="603">
        <f>IF(W3&gt;ProjectLife,0,'Project Assumptions'!$N$62)</f>
        <v>0.35</v>
      </c>
      <c r="X45" s="603">
        <f>IF(X3&gt;ProjectLife+1,0,'Project Assumptions'!$N$62)</f>
        <v>0.35</v>
      </c>
      <c r="Y45" s="603">
        <f>IF(Y3&gt;ProjectLife,0,'Project Assumptions'!$N$62)</f>
        <v>0</v>
      </c>
      <c r="Z45" s="603">
        <f>IF(Z3&gt;ProjectLife,0,'Project Assumptions'!$N$62)</f>
        <v>0</v>
      </c>
      <c r="AA45" s="603">
        <f>IF(AA3&gt;ProjectLife,0,'Project Assumptions'!$N$62)</f>
        <v>0</v>
      </c>
      <c r="AB45" s="604">
        <f>IF(AB3&gt;ProjectLife,0,'Project Assumptions'!$N$62)</f>
        <v>0</v>
      </c>
      <c r="AC45" s="253"/>
      <c r="AD45" s="253"/>
    </row>
    <row r="46" spans="1:255" s="17" customFormat="1" ht="12" customHeight="1">
      <c r="A46" s="517" t="s">
        <v>90</v>
      </c>
      <c r="B46" s="296"/>
      <c r="C46" s="31"/>
      <c r="D46" s="285">
        <f>D43*D45</f>
        <v>-2135.2256795909998</v>
      </c>
      <c r="E46" s="285">
        <f t="shared" ref="E46:AB46" si="15">E43*E45</f>
        <v>-1486.4461258797662</v>
      </c>
      <c r="F46" s="285">
        <f t="shared" si="15"/>
        <v>-815.14903683043792</v>
      </c>
      <c r="G46" s="285">
        <f t="shared" si="15"/>
        <v>1609.8686158978164</v>
      </c>
      <c r="H46" s="285">
        <f t="shared" si="15"/>
        <v>3600.0151995458427</v>
      </c>
      <c r="I46" s="285">
        <f t="shared" si="15"/>
        <v>4058.5974682991832</v>
      </c>
      <c r="J46" s="285">
        <f t="shared" si="15"/>
        <v>4520.995260495446</v>
      </c>
      <c r="K46" s="285">
        <f t="shared" si="15"/>
        <v>4974.1508783695081</v>
      </c>
      <c r="L46" s="285">
        <f t="shared" si="15"/>
        <v>5222.9368558169535</v>
      </c>
      <c r="M46" s="285">
        <f t="shared" si="15"/>
        <v>5783.4618335585683</v>
      </c>
      <c r="N46" s="285">
        <f t="shared" si="15"/>
        <v>6192.5330502466904</v>
      </c>
      <c r="O46" s="285">
        <f t="shared" si="15"/>
        <v>6593.1803647801144</v>
      </c>
      <c r="P46" s="285">
        <f t="shared" si="15"/>
        <v>6780.5433137877453</v>
      </c>
      <c r="Q46" s="285">
        <f t="shared" si="15"/>
        <v>6951.9511806151095</v>
      </c>
      <c r="R46" s="285">
        <f t="shared" si="15"/>
        <v>7129.1143943194693</v>
      </c>
      <c r="S46" s="285">
        <f t="shared" si="15"/>
        <v>8923.8707990973489</v>
      </c>
      <c r="T46" s="285">
        <f t="shared" si="15"/>
        <v>10712.535053788672</v>
      </c>
      <c r="U46" s="285">
        <f t="shared" si="15"/>
        <v>10958.632877853837</v>
      </c>
      <c r="V46" s="285">
        <f t="shared" si="15"/>
        <v>11234.856112939084</v>
      </c>
      <c r="W46" s="285">
        <f t="shared" si="15"/>
        <v>11559.282100564942</v>
      </c>
      <c r="X46" s="285">
        <f t="shared" si="15"/>
        <v>4352.2415480017135</v>
      </c>
      <c r="Y46" s="285">
        <f t="shared" si="15"/>
        <v>0</v>
      </c>
      <c r="Z46" s="285">
        <f t="shared" si="15"/>
        <v>0</v>
      </c>
      <c r="AA46" s="285">
        <f t="shared" si="15"/>
        <v>0</v>
      </c>
      <c r="AB46" s="519">
        <f t="shared" si="15"/>
        <v>0</v>
      </c>
      <c r="AC46" s="285"/>
      <c r="AD46" s="285"/>
      <c r="AE46" s="250"/>
      <c r="AF46" s="250"/>
    </row>
    <row r="47" spans="1:255" s="33" customFormat="1" ht="12" customHeight="1">
      <c r="A47" s="517"/>
      <c r="B47" s="605"/>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524"/>
      <c r="AC47" s="253"/>
      <c r="AD47" s="253"/>
      <c r="AE47" s="286"/>
      <c r="AF47" s="286"/>
    </row>
    <row r="48" spans="1:255" s="42" customFormat="1">
      <c r="A48" s="511" t="s">
        <v>91</v>
      </c>
      <c r="B48" s="596"/>
      <c r="C48" s="45"/>
      <c r="D48" s="285">
        <f>IF(D3&gt;'Project Assumptions'!$I$15,0,IF(C48-C49+IF(D46&lt;0,-1*D46,0)&gt;0,C48-C49+IF(D46&lt;0,-1*D46,0),0))</f>
        <v>2135.2256795909998</v>
      </c>
      <c r="E48" s="285">
        <f>IF(E3&gt;'Project Assumptions'!$I$15,0,IF(D48-D49+IF(E46&lt;0,-1*E46,0)&gt;0,D48-D49+IF(E46&lt;0,-1*E46,0),0))</f>
        <v>3621.6718054707662</v>
      </c>
      <c r="F48" s="285">
        <f>IF(F3&gt;'Project Assumptions'!$I$15,0,IF(E48-E49+IF(F46&lt;0,-1*F46,0)&gt;0,E48-E49+IF(F46&lt;0,-1*F46,0),0))</f>
        <v>4436.8208423012038</v>
      </c>
      <c r="G48" s="285">
        <f>IF(G3&gt;'Project Assumptions'!$I$15,0,IF(F48-F49+IF(G46&lt;0,-1*G46,0)&gt;0,F48-F49+IF(G46&lt;0,-1*G46,0),0))</f>
        <v>4436.8208423012038</v>
      </c>
      <c r="H48" s="285">
        <f>IF(H3&gt;'Project Assumptions'!$I$15,0,IF(G48-G49+IF(H46&lt;0,-1*H46,0)&gt;0,G48-G49+IF(H46&lt;0,-1*H46,0),0))</f>
        <v>2826.9522264033876</v>
      </c>
      <c r="I48" s="285">
        <f>IF(I3&gt;'Project Assumptions'!$I$15,0,IF(H48-H49+IF(I46&lt;0,-1*I46,0)&gt;0,H48-H49+IF(I46&lt;0,-1*I46,0),0))</f>
        <v>0</v>
      </c>
      <c r="J48" s="285">
        <f>IF(J3&gt;'Project Assumptions'!$I$15,0,IF(I48-I49+IF(J46&lt;0,-1*J46,0)&gt;0,I48-I49+IF(J46&lt;0,-1*J46,0),0))</f>
        <v>0</v>
      </c>
      <c r="K48" s="285">
        <f>IF(K3&gt;'Project Assumptions'!$I$15,0,IF(J48-J49+IF(K46&lt;0,-1*K46,0)&gt;0,J48-J49+IF(K46&lt;0,-1*K46,0),0))</f>
        <v>0</v>
      </c>
      <c r="L48" s="285">
        <f>IF(L3&gt;'Project Assumptions'!$I$15,0,IF(K48-K49+IF(L46&lt;0,-1*L46,0)&gt;0,K48-K49+IF(L46&lt;0,-1*L46,0),0))</f>
        <v>0</v>
      </c>
      <c r="M48" s="285">
        <f>IF(M3&gt;'Project Assumptions'!$I$15,0,IF(L48-L49+IF(M46&lt;0,-1*M46,0)&gt;0,L48-L49+IF(M46&lt;0,-1*M46,0),0))</f>
        <v>0</v>
      </c>
      <c r="N48" s="285">
        <f>IF(N3&gt;'Project Assumptions'!$I$15,0,IF(M48-M49+IF(N46&lt;0,-1*N46,0)&gt;0,M48-M49+IF(N46&lt;0,-1*N46,0),0))</f>
        <v>0</v>
      </c>
      <c r="O48" s="285">
        <f>IF(O3&gt;'Project Assumptions'!$I$15,0,IF(N48-N49+IF(O46&lt;0,-1*O46,0)&gt;0,N48-N49+IF(O46&lt;0,-1*O46,0),0))</f>
        <v>0</v>
      </c>
      <c r="P48" s="285">
        <f>IF(P3&gt;'Project Assumptions'!$I$15,0,IF(O48-O49+IF(P46&lt;0,-1*P46,0)&gt;0,O48-O49+IF(P46&lt;0,-1*P46,0),0))</f>
        <v>0</v>
      </c>
      <c r="Q48" s="285">
        <f>IF(Q3&gt;'Project Assumptions'!$I$15,0,IF(P48-P49+IF(Q46&lt;0,-1*Q46,0)&gt;0,P48-P49+IF(Q46&lt;0,-1*Q46,0),0))</f>
        <v>0</v>
      </c>
      <c r="R48" s="285">
        <f>IF(R3&gt;'Project Assumptions'!$I$15,0,IF(Q48-Q49+IF(R46&lt;0,-1*R46,0)&gt;0,Q48-Q49+IF(R46&lt;0,-1*R46,0),0))</f>
        <v>0</v>
      </c>
      <c r="S48" s="285">
        <f>IF(S3&gt;'Project Assumptions'!$I$15,0,IF(R48-R49+IF(S46&lt;0,-1*S46,0)&gt;0,R48-R49+IF(S46&lt;0,-1*S46,0),0))</f>
        <v>0</v>
      </c>
      <c r="T48" s="285">
        <f>IF(T3&gt;'Project Assumptions'!$I$15,0,IF(S48-S49+IF(T46&lt;0,-1*T46,0)&gt;0,S48-S49+IF(T46&lt;0,-1*T46,0),0))</f>
        <v>0</v>
      </c>
      <c r="U48" s="285">
        <f>IF(U3&gt;'Project Assumptions'!$I$15,0,IF(T48-T49+IF(U46&lt;0,-1*U46,0)&gt;0,T48-T49+IF(U46&lt;0,-1*U46,0),0))</f>
        <v>0</v>
      </c>
      <c r="V48" s="285">
        <f>IF(V3&gt;'Project Assumptions'!$I$15,0,IF(U48-U49+IF(V46&lt;0,-1*V46,0)&gt;0,U48-U49+IF(V46&lt;0,-1*V46,0),0))</f>
        <v>0</v>
      </c>
      <c r="W48" s="285">
        <f>IF(W3&gt;'Project Assumptions'!$I$15,0,IF(V48-V49+IF(W46&lt;0,-1*W46,0)&gt;0,V48-V49+IF(W46&lt;0,-1*W46,0),0))</f>
        <v>0</v>
      </c>
      <c r="X48" s="285">
        <f>IF(X3&gt;'Project Assumptions'!$I$15,0,IF(W48-W49+IF(X46&lt;0,-1*X46,0)&gt;0,W48-W49+IF(X46&lt;0,-1*X46,0),0))</f>
        <v>0</v>
      </c>
      <c r="Y48" s="285">
        <f>IF(Y3&gt;'Project Assumptions'!$I$15,0,IF(X48-X49+IF(Y46&lt;0,-1*Y46,0)&gt;0,X48-X49+IF(Y46&lt;0,-1*Y46,0),0))</f>
        <v>0</v>
      </c>
      <c r="Z48" s="285">
        <f>IF(Z3&gt;'Project Assumptions'!$I$15,0,IF(Y48-Y49+IF(Z46&lt;0,-1*Z46,0)&gt;0,Y48-Y49+IF(Z46&lt;0,-1*Z46,0),0))</f>
        <v>0</v>
      </c>
      <c r="AA48" s="285">
        <f>IF(AA3&gt;'Project Assumptions'!$I$15,0,IF(Z48-Z49+IF(AA46&lt;0,-1*AA46,0)&gt;0,Z48-Z49+IF(AA46&lt;0,-1*AA46,0),0))</f>
        <v>0</v>
      </c>
      <c r="AB48" s="519">
        <f>IF(AB3&gt;'Project Assumptions'!$I$15,0,IF(AA48-AA49+IF(AB46&lt;0,-1*AB46,0)&gt;0,AA48-AA49+IF(AB46&lt;0,-1*AB46,0),0))</f>
        <v>0</v>
      </c>
      <c r="AC48" s="253"/>
      <c r="AD48" s="253"/>
      <c r="AE48" s="205"/>
      <c r="AF48" s="205"/>
    </row>
    <row r="49" spans="1:32" s="42" customFormat="1">
      <c r="A49" s="511" t="s">
        <v>92</v>
      </c>
      <c r="B49" s="596"/>
      <c r="C49" s="45"/>
      <c r="D49" s="285">
        <f>IF('Project Assumptions'!$C$66="No",0,IF(D3&lt;='Project Assumptions'!$C$68,IF(D46&lt;0,0,IF(D48&gt;D46,D46,D48)),0))</f>
        <v>0</v>
      </c>
      <c r="E49" s="285">
        <f>IF('Project Assumptions'!$C$66="No",0,IF(E3&lt;='Project Assumptions'!$C$68,IF(E46&lt;0,0,IF(E48&gt;E46,E46,E48)),0))</f>
        <v>0</v>
      </c>
      <c r="F49" s="285">
        <f>IF('Project Assumptions'!$C$66="No",0,IF(F3&lt;='Project Assumptions'!$C$68,IF(F46&lt;0,0,IF(F48&gt;F46,F46,F48)),0))</f>
        <v>0</v>
      </c>
      <c r="G49" s="285">
        <f>IF('Project Assumptions'!$C$66="No",0,IF(G3&lt;='Project Assumptions'!$C$68,IF(G46&lt;0,0,IF(G48&gt;G46,G46,G48)),0))</f>
        <v>1609.8686158978164</v>
      </c>
      <c r="H49" s="285">
        <f>IF('Project Assumptions'!$C$66="No",0,IF(H3&lt;='Project Assumptions'!$C$68,IF(H46&lt;0,0,IF(H48&gt;H46,H46,H48)),0))</f>
        <v>2826.9522264033876</v>
      </c>
      <c r="I49" s="285">
        <f>IF('Project Assumptions'!$C$66="No",0,IF(I3&lt;='Project Assumptions'!$C$68,IF(I46&lt;0,0,IF(I48&gt;I46,I46,I48)),0))</f>
        <v>0</v>
      </c>
      <c r="J49" s="285">
        <f>IF('Project Assumptions'!$C$66="No",0,IF(J3&lt;='Project Assumptions'!$C$68,IF(J46&lt;0,0,IF(J48&gt;J46,J46,J48)),0))</f>
        <v>0</v>
      </c>
      <c r="K49" s="285">
        <f>IF('Project Assumptions'!$C$66="No",0,IF(K3&lt;='Project Assumptions'!$C$68,IF(K46&lt;0,0,IF(K48&gt;K46,K46,K48)),0))</f>
        <v>0</v>
      </c>
      <c r="L49" s="285">
        <f>IF('Project Assumptions'!$C$66="No",0,IF(L3&lt;='Project Assumptions'!$C$68,IF(L46&lt;0,0,IF(L48&gt;L46,L46,L48)),0))</f>
        <v>0</v>
      </c>
      <c r="M49" s="285">
        <f>IF('Project Assumptions'!$C$66="No",0,IF(M3&lt;='Project Assumptions'!$C$68,IF(M46&lt;0,0,IF(M48&gt;M46,M46,M48)),0))</f>
        <v>0</v>
      </c>
      <c r="N49" s="285">
        <f>IF('Project Assumptions'!$C$66="No",0,IF(N3&lt;='Project Assumptions'!$C$68,IF(N46&lt;0,0,IF(N48&gt;N46,N46,N48)),0))</f>
        <v>0</v>
      </c>
      <c r="O49" s="285">
        <f>IF('Project Assumptions'!$C$66="No",0,IF(O3&lt;='Project Assumptions'!$C$68,IF(O46&lt;0,0,IF(O48&gt;O46,O46,O48)),0))</f>
        <v>0</v>
      </c>
      <c r="P49" s="285">
        <f>IF('Project Assumptions'!$C$66="No",0,IF(P3&lt;='Project Assumptions'!$C$68,IF(P46&lt;0,0,IF(P48&gt;P46,P46,P48)),0))</f>
        <v>0</v>
      </c>
      <c r="Q49" s="285">
        <f>IF('Project Assumptions'!$C$66="No",0,IF(Q3&lt;='Project Assumptions'!$C$68,IF(Q46&lt;0,0,IF(Q48&gt;Q46,Q46,Q48)),0))</f>
        <v>0</v>
      </c>
      <c r="R49" s="285">
        <f>IF('Project Assumptions'!$C$66="No",0,IF(R3&lt;='Project Assumptions'!$C$68,IF(R46&lt;0,0,IF(R48&gt;R46,R46,R48)),0))</f>
        <v>0</v>
      </c>
      <c r="S49" s="285">
        <f>IF('Project Assumptions'!$C$66="No",0,IF(S3&lt;='Project Assumptions'!$C$68,IF(S46&lt;0,0,IF(S48&gt;S46,S46,S48)),0))</f>
        <v>0</v>
      </c>
      <c r="T49" s="285">
        <f>IF('Project Assumptions'!$C$66="No",0,IF(T3&lt;='Project Assumptions'!$C$68,IF(T46&lt;0,0,IF(T48&gt;T46,T46,T48)),0))</f>
        <v>0</v>
      </c>
      <c r="U49" s="285">
        <f>IF('Project Assumptions'!$C$66="No",0,IF(U3&lt;='Project Assumptions'!$C$68,IF(U46&lt;0,0,IF(U48&gt;U46,U46,U48)),0))</f>
        <v>0</v>
      </c>
      <c r="V49" s="285">
        <f>IF('Project Assumptions'!$C$66="No",0,IF(V3&lt;='Project Assumptions'!$C$68,IF(V46&lt;0,0,IF(V48&gt;V46,V46,V48)),0))</f>
        <v>0</v>
      </c>
      <c r="W49" s="285">
        <f>IF('Project Assumptions'!$C$66="No",0,IF(W3&lt;='Project Assumptions'!$C$68,IF(W46&lt;0,0,IF(W48&gt;W46,W46,W48)),0))</f>
        <v>0</v>
      </c>
      <c r="X49" s="285">
        <f>IF('Project Assumptions'!$C$66="No",0,IF(X3&lt;='Project Assumptions'!$C$68,IF(X46&lt;0,0,IF(X48&gt;X46,X46,X48)),0))</f>
        <v>0</v>
      </c>
      <c r="Y49" s="285">
        <f>IF('Project Assumptions'!$C$66="No",0,IF(Y3&lt;='Project Assumptions'!$C$68,IF(Y46&lt;0,0,IF(Y48&gt;Y46,Y46,Y48)),0))</f>
        <v>0</v>
      </c>
      <c r="Z49" s="285">
        <f>IF('Project Assumptions'!$C$66="No",0,IF(Z3&lt;='Project Assumptions'!$C$68,IF(Z46&lt;0,0,IF(Z48&gt;Z46,Z46,Z48)),0))</f>
        <v>0</v>
      </c>
      <c r="AA49" s="285">
        <f>IF('Project Assumptions'!$C$66="No",0,IF(AA3&lt;='Project Assumptions'!$C$68,IF(AA46&lt;0,0,IF(AA48&gt;AA46,AA46,AA48)),0))</f>
        <v>0</v>
      </c>
      <c r="AB49" s="519">
        <f>IF('Project Assumptions'!$C$66="No",0,IF(AB3&lt;='Project Assumptions'!$C$68,IF(AB46&lt;0,0,IF(AB48&gt;AB46,AB46,AB48)),0))</f>
        <v>0</v>
      </c>
      <c r="AC49" s="205"/>
      <c r="AD49" s="205"/>
      <c r="AE49" s="205"/>
      <c r="AF49" s="205"/>
    </row>
    <row r="50" spans="1:32" s="42" customFormat="1">
      <c r="A50" s="511"/>
      <c r="B50" s="596"/>
      <c r="C50" s="45"/>
      <c r="D50" s="285"/>
      <c r="E50" s="285"/>
      <c r="F50" s="285"/>
      <c r="G50" s="285"/>
      <c r="H50" s="285"/>
      <c r="I50" s="285"/>
      <c r="J50" s="285"/>
      <c r="K50" s="285"/>
      <c r="L50" s="285"/>
      <c r="M50" s="285"/>
      <c r="N50" s="285"/>
      <c r="O50" s="285"/>
      <c r="P50" s="285"/>
      <c r="Q50" s="285"/>
      <c r="R50" s="285"/>
      <c r="S50" s="285"/>
      <c r="T50" s="285"/>
      <c r="U50" s="285"/>
      <c r="V50" s="285"/>
      <c r="W50" s="285"/>
      <c r="X50" s="285"/>
      <c r="Y50" s="285"/>
      <c r="Z50" s="285"/>
      <c r="AA50" s="285"/>
      <c r="AB50" s="519"/>
      <c r="AC50" s="205"/>
      <c r="AD50" s="205"/>
      <c r="AE50" s="205"/>
      <c r="AF50" s="205"/>
    </row>
    <row r="51" spans="1:32" s="42" customFormat="1">
      <c r="A51" s="344" t="s">
        <v>459</v>
      </c>
      <c r="B51" s="349"/>
      <c r="C51" s="350"/>
      <c r="D51" s="351">
        <f>IF(AND('Project Assumptions'!$C$66="No",D46&lt;0),D46,IF(AND('Project Assumptions'!$C$66="No",D46&gt;0),D46,IF(D46&lt;0,0,(D46-D49))))</f>
        <v>0</v>
      </c>
      <c r="E51" s="351">
        <f>IF(AND('Project Assumptions'!$C$66="No",E46&lt;0),E46,IF(AND('Project Assumptions'!$C$66="No",E46&gt;0),E46,IF(E46&lt;0,0,(E46-E49))))</f>
        <v>0</v>
      </c>
      <c r="F51" s="351">
        <f>IF(AND('Project Assumptions'!$C$66="No",F46&lt;0),F46,IF(AND('Project Assumptions'!$C$66="No",F46&gt;0),F46,IF(F46&lt;0,0,(F46-F49))))</f>
        <v>0</v>
      </c>
      <c r="G51" s="351">
        <f>IF(AND('Project Assumptions'!$C$66="No",G46&lt;0),G46,IF(AND('Project Assumptions'!$C$66="No",G46&gt;0),G46,IF(G46&lt;0,0,(G46-G49))))</f>
        <v>0</v>
      </c>
      <c r="H51" s="351">
        <f>IF(AND('Project Assumptions'!$C$66="No",H46&lt;0),H46,IF(AND('Project Assumptions'!$C$66="No",H46&gt;0),H46,IF(H46&lt;0,0,(H46-H49))))</f>
        <v>773.06297314245512</v>
      </c>
      <c r="I51" s="351">
        <f>IF(AND('Project Assumptions'!$C$66="No",I46&lt;0),I46,IF(AND('Project Assumptions'!$C$66="No",I46&gt;0),I46,IF(I46&lt;0,0,(I46-I49))))</f>
        <v>4058.5974682991832</v>
      </c>
      <c r="J51" s="351">
        <f>IF(AND('Project Assumptions'!$C$66="No",J46&lt;0),J46,IF(AND('Project Assumptions'!$C$66="No",J46&gt;0),J46,IF(J46&lt;0,0,(J46-J49))))</f>
        <v>4520.995260495446</v>
      </c>
      <c r="K51" s="351">
        <f>IF(AND('Project Assumptions'!$C$66="No",K46&lt;0),K46,IF(AND('Project Assumptions'!$C$66="No",K46&gt;0),K46,IF(K46&lt;0,0,(K46-K49))))</f>
        <v>4974.1508783695081</v>
      </c>
      <c r="L51" s="351">
        <f>IF(AND('Project Assumptions'!$C$66="No",L46&lt;0),L46,IF(AND('Project Assumptions'!$C$66="No",L46&gt;0),L46,IF(L46&lt;0,0,(L46-L49))))</f>
        <v>5222.9368558169535</v>
      </c>
      <c r="M51" s="351">
        <f>IF(AND('Project Assumptions'!$C$66="No",M46&lt;0),M46,IF(AND('Project Assumptions'!$C$66="No",M46&gt;0),M46,IF(M46&lt;0,0,(M46-M49))))</f>
        <v>5783.4618335585683</v>
      </c>
      <c r="N51" s="351">
        <f>IF(AND('Project Assumptions'!$C$66="No",N46&lt;0),N46,IF(AND('Project Assumptions'!$C$66="No",N46&gt;0),N46,IF(N46&lt;0,0,(N46-N49))))</f>
        <v>6192.5330502466904</v>
      </c>
      <c r="O51" s="351">
        <f>IF(AND('Project Assumptions'!$C$66="No",O46&lt;0),O46,IF(AND('Project Assumptions'!$C$66="No",O46&gt;0),O46,IF(O46&lt;0,0,(O46-O49))))</f>
        <v>6593.1803647801144</v>
      </c>
      <c r="P51" s="351">
        <f>IF(AND('Project Assumptions'!$C$66="No",P46&lt;0),P46,IF(AND('Project Assumptions'!$C$66="No",P46&gt;0),P46,IF(P46&lt;0,0,(P46-P49))))</f>
        <v>6780.5433137877453</v>
      </c>
      <c r="Q51" s="351">
        <f>IF(AND('Project Assumptions'!$C$66="No",Q46&lt;0),Q46,IF(AND('Project Assumptions'!$C$66="No",Q46&gt;0),Q46,IF(Q46&lt;0,0,(Q46-Q49))))</f>
        <v>6951.9511806151095</v>
      </c>
      <c r="R51" s="351">
        <f>IF(AND('Project Assumptions'!$C$66="No",R46&lt;0),R46,IF(AND('Project Assumptions'!$C$66="No",R46&gt;0),R46,IF(R46&lt;0,0,(R46-R49))))</f>
        <v>7129.1143943194693</v>
      </c>
      <c r="S51" s="351">
        <f>IF(AND('Project Assumptions'!$C$66="No",S46&lt;0),S46,IF(AND('Project Assumptions'!$C$66="No",S46&gt;0),S46,IF(S46&lt;0,0,(S46-S49))))</f>
        <v>8923.8707990973489</v>
      </c>
      <c r="T51" s="351">
        <f>IF(AND('Project Assumptions'!$C$66="No",T46&lt;0),T46,IF(AND('Project Assumptions'!$C$66="No",T46&gt;0),T46,IF(T46&lt;0,0,(T46-T49))))</f>
        <v>10712.535053788672</v>
      </c>
      <c r="U51" s="351">
        <f>IF(AND('Project Assumptions'!$C$66="No",U46&lt;0),U46,IF(AND('Project Assumptions'!$C$66="No",U46&gt;0),U46,IF(U46&lt;0,0,(U46-U49))))</f>
        <v>10958.632877853837</v>
      </c>
      <c r="V51" s="351">
        <f>IF(AND('Project Assumptions'!$C$66="No",V46&lt;0),V46,IF(AND('Project Assumptions'!$C$66="No",V46&gt;0),V46,IF(V46&lt;0,0,(V46-V49))))</f>
        <v>11234.856112939084</v>
      </c>
      <c r="W51" s="351">
        <f>IF(AND('Project Assumptions'!$C$66="No",W46&lt;0),W46,IF(AND('Project Assumptions'!$C$66="No",W46&gt;0),W46,IF(W46&lt;0,0,(W46-W49))))</f>
        <v>11559.282100564942</v>
      </c>
      <c r="X51" s="351">
        <f>IF(AND('Project Assumptions'!$C$66="No",X46&lt;0),X46,IF(AND('Project Assumptions'!$C$66="No",X46&gt;0),X46,IF(X46&lt;0,0,(X46-X49))))</f>
        <v>4352.2415480017135</v>
      </c>
      <c r="Y51" s="351">
        <f>IF(AND('Project Assumptions'!$C$66="No",Y46&lt;0),Y46,IF(AND('Project Assumptions'!$C$66="No",Y46&gt;0),Y46,IF(Y46&lt;0,0,(Y46-Y49))))</f>
        <v>0</v>
      </c>
      <c r="Z51" s="351">
        <f>IF(AND('Project Assumptions'!$C$66="No",Z46&lt;0),Z46,IF(AND('Project Assumptions'!$C$66="No",Z46&gt;0),Z46,IF(Z46&lt;0,0,(Z46-Z49))))</f>
        <v>0</v>
      </c>
      <c r="AA51" s="351">
        <f>IF(AND('Project Assumptions'!$C$66="No",AA46&lt;0),AA46,IF(AND('Project Assumptions'!$C$66="No",AA46&gt;0),AA46,IF(AA46&lt;0,0,(AA46-AA49))))</f>
        <v>0</v>
      </c>
      <c r="AB51" s="352">
        <f>IF(AND('Project Assumptions'!$C$66="No",AB46&lt;0),AB46,IF(AND('Project Assumptions'!$C$66="No",AB46&gt;0),AB46,IF(AB46&lt;0,0,(AB46-AB49))))</f>
        <v>0</v>
      </c>
      <c r="AC51" s="205"/>
      <c r="AD51" s="205"/>
      <c r="AE51" s="205"/>
      <c r="AF51" s="205"/>
    </row>
    <row r="52" spans="1:32" ht="12.75">
      <c r="A52" s="148"/>
      <c r="B52" s="281"/>
      <c r="C52" s="273"/>
      <c r="D52" s="273"/>
      <c r="E52" s="273"/>
      <c r="F52" s="273"/>
      <c r="G52" s="273"/>
      <c r="H52" s="273"/>
      <c r="I52" s="273"/>
      <c r="J52" s="273"/>
      <c r="K52" s="273"/>
      <c r="L52" s="273"/>
      <c r="M52" s="273"/>
      <c r="N52" s="273"/>
      <c r="O52" s="273"/>
      <c r="P52" s="273"/>
      <c r="Q52" s="273"/>
      <c r="R52" s="273"/>
      <c r="S52" s="273"/>
      <c r="T52" s="273"/>
      <c r="U52" s="273"/>
      <c r="V52" s="273"/>
      <c r="W52" s="273"/>
      <c r="X52" s="273"/>
      <c r="Y52" s="273"/>
      <c r="Z52" s="273"/>
      <c r="AA52" s="273"/>
    </row>
    <row r="53" spans="1:32" ht="12.75">
      <c r="A53" s="606" t="s">
        <v>401</v>
      </c>
      <c r="B53" s="607"/>
      <c r="C53" s="608"/>
      <c r="D53" s="608"/>
      <c r="E53" s="608"/>
      <c r="F53" s="608"/>
      <c r="G53" s="608"/>
      <c r="H53" s="608"/>
      <c r="I53" s="608"/>
      <c r="J53" s="608"/>
      <c r="K53" s="608"/>
      <c r="L53" s="608"/>
      <c r="M53" s="608"/>
      <c r="N53" s="608"/>
      <c r="O53" s="608"/>
      <c r="P53" s="608"/>
      <c r="Q53" s="608"/>
      <c r="R53" s="608"/>
      <c r="S53" s="608"/>
      <c r="T53" s="608"/>
      <c r="U53" s="608"/>
      <c r="V53" s="608"/>
      <c r="W53" s="608"/>
      <c r="X53" s="608"/>
      <c r="Y53" s="608"/>
      <c r="Z53" s="608"/>
      <c r="AA53" s="608"/>
      <c r="AB53" s="507"/>
    </row>
    <row r="54" spans="1:32">
      <c r="A54" s="511"/>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524"/>
    </row>
    <row r="55" spans="1:32">
      <c r="A55" s="511" t="s">
        <v>412</v>
      </c>
      <c r="B55" s="253"/>
      <c r="C55" s="253"/>
      <c r="D55" s="609">
        <f>'Cash Flow Statement'!D21+'Cash Flow Statement'!D9</f>
        <v>0</v>
      </c>
      <c r="E55" s="609">
        <f>'Cash Flow Statement'!E21+'Cash Flow Statement'!E9</f>
        <v>245.60635648000002</v>
      </c>
      <c r="F55" s="609">
        <f>'Cash Flow Statement'!F21+'Cash Flow Statement'!F9</f>
        <v>245.60635648000002</v>
      </c>
      <c r="G55" s="609">
        <f>'Cash Flow Statement'!G21+'Cash Flow Statement'!G9</f>
        <v>245.60635648000002</v>
      </c>
      <c r="H55" s="609">
        <f>'Cash Flow Statement'!H21+'Cash Flow Statement'!H9</f>
        <v>1217.2763994060365</v>
      </c>
      <c r="I55" s="609">
        <f>'Cash Flow Statement'!I21+'Cash Flow Statement'!I9</f>
        <v>5346.8952724543333</v>
      </c>
      <c r="J55" s="609">
        <f>'Cash Flow Statement'!J21+'Cash Flow Statement'!J9</f>
        <v>5928.0873592592116</v>
      </c>
      <c r="K55" s="609">
        <f>'Cash Flow Statement'!K21+'Cash Flow Statement'!K9</f>
        <v>6497.6628711764342</v>
      </c>
      <c r="L55" s="609">
        <f>'Cash Flow Statement'!L21+'Cash Flow Statement'!L9</f>
        <v>6810.3642807435044</v>
      </c>
      <c r="M55" s="609">
        <f>'Cash Flow Statement'!M21+'Cash Flow Statement'!M9</f>
        <v>7514.8933399601929</v>
      </c>
      <c r="N55" s="609">
        <f>'Cash Flow Statement'!N21+'Cash Flow Statement'!N9</f>
        <v>8029.0587578994482</v>
      </c>
      <c r="O55" s="609">
        <f>'Cash Flow Statement'!O21+'Cash Flow Statement'!O9</f>
        <v>8532.6360948509573</v>
      </c>
      <c r="P55" s="609">
        <f>'Cash Flow Statement'!P21+'Cash Flow Statement'!P9</f>
        <v>8768.1343285394123</v>
      </c>
      <c r="Q55" s="609">
        <f>'Cash Flow Statement'!Q21+'Cash Flow Statement'!Q9</f>
        <v>8983.5784710016778</v>
      </c>
      <c r="R55" s="609">
        <f>'Cash Flow Statement'!R21+'Cash Flow Statement'!R9</f>
        <v>9206.2565624969593</v>
      </c>
      <c r="S55" s="609">
        <f>'Cash Flow Statement'!S21+'Cash Flow Statement'!S9</f>
        <v>11462.102584695391</v>
      </c>
      <c r="T55" s="609">
        <f>'Cash Flow Statement'!T21+'Cash Flow Statement'!T9</f>
        <v>13710.291326773353</v>
      </c>
      <c r="U55" s="609">
        <f>'Cash Flow Statement'!U21+'Cash Flow Statement'!U9</f>
        <v>14019.613971345723</v>
      </c>
      <c r="V55" s="609">
        <f>'Cash Flow Statement'!V21+'Cash Flow Statement'!V9</f>
        <v>14366.801525292887</v>
      </c>
      <c r="W55" s="609">
        <f>'Cash Flow Statement'!W21+'Cash Flow Statement'!W9</f>
        <v>14774.575567349677</v>
      </c>
      <c r="X55" s="609">
        <f>'Cash Flow Statement'!X21+'Cash Flow Statement'!X9</f>
        <v>5715.9792480710985</v>
      </c>
      <c r="Y55" s="609">
        <f>'Cash Flow Statement'!Y21+'Cash Flow Statement'!Y9</f>
        <v>0</v>
      </c>
      <c r="Z55" s="609">
        <f>'Cash Flow Statement'!Z21+'Cash Flow Statement'!Z9</f>
        <v>0</v>
      </c>
      <c r="AA55" s="609">
        <f>'Cash Flow Statement'!AA21+'Cash Flow Statement'!AA9</f>
        <v>0</v>
      </c>
      <c r="AB55" s="610">
        <f>'Cash Flow Statement'!AB21+'Cash Flow Statement'!AB9</f>
        <v>0</v>
      </c>
    </row>
    <row r="56" spans="1:32">
      <c r="A56" s="511" t="s">
        <v>413</v>
      </c>
      <c r="B56" s="253"/>
      <c r="C56" s="253"/>
      <c r="D56" s="611">
        <f>'Book Income Statement'!D74+'Cash Flow Statement'!D8</f>
        <v>38.675662894476631</v>
      </c>
      <c r="E56" s="611">
        <f>'Book Income Statement'!E74+'Cash Flow Statement'!E8</f>
        <v>3042.2995758564221</v>
      </c>
      <c r="F56" s="611">
        <f>'Book Income Statement'!F74+'Cash Flow Statement'!F8</f>
        <v>3157.1659042370857</v>
      </c>
      <c r="G56" s="611">
        <f>'Book Income Statement'!G74+'Cash Flow Statement'!G8</f>
        <v>5363.8460571368196</v>
      </c>
      <c r="H56" s="611">
        <f>'Book Income Statement'!H74+'Cash Flow Statement'!H8</f>
        <v>7204.708033137691</v>
      </c>
      <c r="I56" s="611">
        <f>'Book Income Statement'!I74+'Cash Flow Statement'!I8</f>
        <v>7588.4576923304212</v>
      </c>
      <c r="J56" s="611">
        <f>'Book Income Statement'!J74+'Cash Flow Statement'!J8</f>
        <v>7940.6356619343369</v>
      </c>
      <c r="K56" s="611">
        <f>'Book Income Statement'!K74+'Cash Flow Statement'!K8</f>
        <v>8517.1509955849215</v>
      </c>
      <c r="L56" s="611">
        <f>'Book Income Statement'!L74+'Cash Flow Statement'!L8</f>
        <v>8822.9125834186307</v>
      </c>
      <c r="M56" s="611">
        <f>'Book Income Statement'!M74+'Cash Flow Statement'!M8</f>
        <v>9534.3814643686801</v>
      </c>
      <c r="N56" s="611">
        <f>'Book Income Statement'!N74+'Cash Flow Statement'!N8</f>
        <v>10041.607060574574</v>
      </c>
      <c r="O56" s="611">
        <f>'Book Income Statement'!O74+'Cash Flow Statement'!O8</f>
        <v>10552.124219259445</v>
      </c>
      <c r="P56" s="611">
        <f>'Book Income Statement'!P74+'Cash Flow Statement'!P8</f>
        <v>10780.682631214537</v>
      </c>
      <c r="Q56" s="611">
        <f>'Book Income Statement'!Q74+'Cash Flow Statement'!Q8</f>
        <v>11003.066595410164</v>
      </c>
      <c r="R56" s="611">
        <f>'Book Income Statement'!R74+'Cash Flow Statement'!R8</f>
        <v>11218.804865172084</v>
      </c>
      <c r="S56" s="611">
        <f>'Book Income Statement'!S74+'Cash Flow Statement'!S8</f>
        <v>11427.403476028579</v>
      </c>
      <c r="T56" s="611">
        <f>'Book Income Statement'!T74+'Cash Flow Statement'!T8</f>
        <v>11628.344806764602</v>
      </c>
      <c r="U56" s="611">
        <f>'Book Income Statement'!U74+'Cash Flow Statement'!U8</f>
        <v>11937.667451336973</v>
      </c>
      <c r="V56" s="611">
        <f>'Book Income Statement'!V74+'Cash Flow Statement'!V8</f>
        <v>12284.855005284138</v>
      </c>
      <c r="W56" s="611">
        <f>'Book Income Statement'!W74+'Cash Flow Statement'!W8</f>
        <v>12692.629047340928</v>
      </c>
      <c r="X56" s="611">
        <f>'Book Income Statement'!X74+'Cash Flow Statement'!X8</f>
        <v>3634.0327280623492</v>
      </c>
      <c r="Y56" s="611">
        <f>'Book Income Statement'!Y74+'Cash Flow Statement'!Y8</f>
        <v>0</v>
      </c>
      <c r="Z56" s="611">
        <f>'Book Income Statement'!Z74+'Cash Flow Statement'!Z8</f>
        <v>0</v>
      </c>
      <c r="AA56" s="611">
        <f>'Book Income Statement'!AA74+'Cash Flow Statement'!AA8</f>
        <v>0</v>
      </c>
      <c r="AB56" s="612">
        <f>'Book Income Statement'!AB74+'Cash Flow Statement'!AB8</f>
        <v>0</v>
      </c>
    </row>
    <row r="57" spans="1:32">
      <c r="A57" s="511" t="s">
        <v>414</v>
      </c>
      <c r="B57" s="253"/>
      <c r="C57" s="253"/>
      <c r="D57" s="609">
        <f>D56-D55</f>
        <v>38.675662894476631</v>
      </c>
      <c r="E57" s="609">
        <f t="shared" ref="E57:AB57" si="16">E56-E55</f>
        <v>2796.6932193764219</v>
      </c>
      <c r="F57" s="609">
        <f t="shared" si="16"/>
        <v>2911.5595477570855</v>
      </c>
      <c r="G57" s="609">
        <f t="shared" si="16"/>
        <v>5118.2397006568199</v>
      </c>
      <c r="H57" s="609">
        <f t="shared" si="16"/>
        <v>5987.4316337316541</v>
      </c>
      <c r="I57" s="609">
        <f t="shared" si="16"/>
        <v>2241.5624198760879</v>
      </c>
      <c r="J57" s="609">
        <f t="shared" si="16"/>
        <v>2012.5483026751253</v>
      </c>
      <c r="K57" s="609">
        <f t="shared" si="16"/>
        <v>2019.4881244084872</v>
      </c>
      <c r="L57" s="609">
        <f t="shared" si="16"/>
        <v>2012.5483026751263</v>
      </c>
      <c r="M57" s="609">
        <f t="shared" si="16"/>
        <v>2019.4881244084872</v>
      </c>
      <c r="N57" s="609">
        <f t="shared" si="16"/>
        <v>2012.5483026751253</v>
      </c>
      <c r="O57" s="609">
        <f t="shared" si="16"/>
        <v>2019.4881244084881</v>
      </c>
      <c r="P57" s="609">
        <f t="shared" si="16"/>
        <v>2012.5483026751244</v>
      </c>
      <c r="Q57" s="609">
        <f t="shared" si="16"/>
        <v>2019.4881244084863</v>
      </c>
      <c r="R57" s="609">
        <f t="shared" si="16"/>
        <v>2012.5483026751244</v>
      </c>
      <c r="S57" s="609">
        <f t="shared" si="16"/>
        <v>-34.699108666811298</v>
      </c>
      <c r="T57" s="609">
        <f t="shared" si="16"/>
        <v>-2081.9465200087507</v>
      </c>
      <c r="U57" s="609">
        <f t="shared" si="16"/>
        <v>-2081.9465200087507</v>
      </c>
      <c r="V57" s="609">
        <f t="shared" si="16"/>
        <v>-2081.9465200087488</v>
      </c>
      <c r="W57" s="609">
        <f t="shared" si="16"/>
        <v>-2081.9465200087488</v>
      </c>
      <c r="X57" s="609">
        <f t="shared" si="16"/>
        <v>-2081.9465200087493</v>
      </c>
      <c r="Y57" s="609">
        <f t="shared" si="16"/>
        <v>0</v>
      </c>
      <c r="Z57" s="609">
        <f t="shared" si="16"/>
        <v>0</v>
      </c>
      <c r="AA57" s="609">
        <f t="shared" si="16"/>
        <v>0</v>
      </c>
      <c r="AB57" s="610">
        <f t="shared" si="16"/>
        <v>0</v>
      </c>
    </row>
    <row r="58" spans="1:32">
      <c r="A58" s="511"/>
      <c r="B58" s="253"/>
      <c r="C58" s="253"/>
      <c r="D58" s="609"/>
      <c r="E58" s="609"/>
      <c r="F58" s="609"/>
      <c r="G58" s="609"/>
      <c r="H58" s="609"/>
      <c r="I58" s="609"/>
      <c r="J58" s="609"/>
      <c r="K58" s="609"/>
      <c r="L58" s="609"/>
      <c r="M58" s="609"/>
      <c r="N58" s="609"/>
      <c r="O58" s="609"/>
      <c r="P58" s="609"/>
      <c r="Q58" s="609"/>
      <c r="R58" s="609"/>
      <c r="S58" s="609"/>
      <c r="T58" s="609"/>
      <c r="U58" s="609"/>
      <c r="V58" s="609"/>
      <c r="W58" s="609"/>
      <c r="X58" s="609"/>
      <c r="Y58" s="609"/>
      <c r="Z58" s="609"/>
      <c r="AA58" s="609"/>
      <c r="AB58" s="610"/>
    </row>
    <row r="59" spans="1:32">
      <c r="A59" s="544" t="s">
        <v>415</v>
      </c>
      <c r="B59" s="545"/>
      <c r="C59" s="545"/>
      <c r="D59" s="613">
        <f>D57+C59</f>
        <v>38.675662894476631</v>
      </c>
      <c r="E59" s="613">
        <f>E57+D59</f>
        <v>2835.3688822708987</v>
      </c>
      <c r="F59" s="613">
        <f t="shared" ref="F59:AB59" si="17">F57+E59</f>
        <v>5746.9284300279842</v>
      </c>
      <c r="G59" s="613">
        <f t="shared" si="17"/>
        <v>10865.168130684804</v>
      </c>
      <c r="H59" s="613">
        <f t="shared" si="17"/>
        <v>16852.59976441646</v>
      </c>
      <c r="I59" s="613">
        <f t="shared" si="17"/>
        <v>19094.162184292549</v>
      </c>
      <c r="J59" s="613">
        <f t="shared" si="17"/>
        <v>21106.710486967673</v>
      </c>
      <c r="K59" s="613">
        <f t="shared" si="17"/>
        <v>23126.19861137616</v>
      </c>
      <c r="L59" s="613">
        <f t="shared" si="17"/>
        <v>25138.746914051284</v>
      </c>
      <c r="M59" s="613">
        <f t="shared" si="17"/>
        <v>27158.23503845977</v>
      </c>
      <c r="N59" s="613">
        <f t="shared" si="17"/>
        <v>29170.783341134895</v>
      </c>
      <c r="O59" s="613">
        <f t="shared" si="17"/>
        <v>31190.271465543381</v>
      </c>
      <c r="P59" s="613">
        <f t="shared" si="17"/>
        <v>33202.819768218505</v>
      </c>
      <c r="Q59" s="613">
        <f t="shared" si="17"/>
        <v>35222.307892626995</v>
      </c>
      <c r="R59" s="613">
        <f t="shared" si="17"/>
        <v>37234.85619530212</v>
      </c>
      <c r="S59" s="613">
        <f t="shared" si="17"/>
        <v>37200.157086635307</v>
      </c>
      <c r="T59" s="613">
        <f t="shared" si="17"/>
        <v>35118.210566626556</v>
      </c>
      <c r="U59" s="613">
        <f t="shared" si="17"/>
        <v>33036.264046617805</v>
      </c>
      <c r="V59" s="613">
        <f t="shared" si="17"/>
        <v>30954.317526609055</v>
      </c>
      <c r="W59" s="613">
        <f t="shared" si="17"/>
        <v>28872.371006600304</v>
      </c>
      <c r="X59" s="613">
        <f t="shared" si="17"/>
        <v>26790.424486591553</v>
      </c>
      <c r="Y59" s="613">
        <f t="shared" si="17"/>
        <v>26790.424486591553</v>
      </c>
      <c r="Z59" s="613">
        <f t="shared" si="17"/>
        <v>26790.424486591553</v>
      </c>
      <c r="AA59" s="613">
        <f t="shared" si="17"/>
        <v>26790.424486591553</v>
      </c>
      <c r="AB59" s="614">
        <f t="shared" si="17"/>
        <v>26790.424486591553</v>
      </c>
    </row>
    <row r="61" spans="1:32" ht="12.75">
      <c r="A61" s="606" t="s">
        <v>643</v>
      </c>
      <c r="B61" s="534"/>
      <c r="C61" s="534"/>
      <c r="D61" s="534"/>
      <c r="E61" s="534"/>
      <c r="F61" s="534"/>
      <c r="G61" s="534"/>
      <c r="H61" s="534"/>
      <c r="I61" s="534"/>
      <c r="J61" s="534"/>
      <c r="K61" s="534"/>
      <c r="L61" s="534"/>
      <c r="M61" s="534"/>
      <c r="N61" s="534"/>
      <c r="O61" s="534"/>
      <c r="P61" s="534"/>
      <c r="Q61" s="534"/>
      <c r="R61" s="534"/>
      <c r="S61" s="534"/>
      <c r="T61" s="534"/>
      <c r="U61" s="534"/>
      <c r="V61" s="534"/>
      <c r="W61" s="534"/>
      <c r="X61" s="534"/>
      <c r="Y61" s="534"/>
      <c r="Z61" s="534"/>
      <c r="AA61" s="534"/>
      <c r="AB61" s="507"/>
    </row>
    <row r="62" spans="1:32">
      <c r="A62" s="511"/>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524"/>
    </row>
    <row r="63" spans="1:32">
      <c r="A63" s="511" t="s">
        <v>645</v>
      </c>
      <c r="B63" s="253"/>
      <c r="C63" s="253"/>
      <c r="D63" s="290">
        <f>'Book Income Statement'!D34+'Book Income Statement'!D42+'Book Income Statement'!D51+'Book Income Statement'!D53+'Book Income Statement'!D28+'Book Income Statement'!D65</f>
        <v>7907.9871924113741</v>
      </c>
      <c r="E63" s="290">
        <f>'Book Income Statement'!E34+'Book Income Statement'!E42+'Book Income Statement'!E51+'Book Income Statement'!E53+'Book Income Statement'!E28+'Book Income Statement'!E65</f>
        <v>11250.637515238823</v>
      </c>
      <c r="F63" s="290">
        <f>'Book Income Statement'!F34+'Book Income Statement'!F42+'Book Income Statement'!F51+'Book Income Statement'!F53+'Book Income Statement'!F28+'Book Income Statement'!F65</f>
        <v>11413.801291101589</v>
      </c>
      <c r="G63" s="290">
        <f>'Book Income Statement'!G34+'Book Income Statement'!G42+'Book Income Statement'!G51+'Book Income Statement'!G53+'Book Income Statement'!G28+'Book Income Statement'!G65</f>
        <v>11857.092472521872</v>
      </c>
      <c r="H63" s="290">
        <f>'Book Income Statement'!H34+'Book Income Statement'!H42+'Book Income Statement'!H51+'Book Income Statement'!H53+'Book Income Statement'!H28+'Book Income Statement'!H65</f>
        <v>12233.542511439824</v>
      </c>
      <c r="I63" s="290">
        <f>'Book Income Statement'!I34+'Book Income Statement'!I42+'Book Income Statement'!I51+'Book Income Statement'!I53+'Book Income Statement'!I28+'Book Income Statement'!I65</f>
        <v>12188.124720521952</v>
      </c>
      <c r="J63" s="290">
        <f>'Book Income Statement'!J34+'Book Income Statement'!J42+'Book Income Statement'!J51+'Book Income Statement'!J53+'Book Income Statement'!J28+'Book Income Statement'!J65</f>
        <v>12216.506090709878</v>
      </c>
      <c r="K63" s="290">
        <f>'Book Income Statement'!K34+'Book Income Statement'!K42+'Book Income Statement'!K51+'Book Income Statement'!K53+'Book Income Statement'!K28+'Book Income Statement'!K65</f>
        <v>12420.889457836774</v>
      </c>
      <c r="L63" s="290">
        <f>'Book Income Statement'!L34+'Book Income Statement'!L42+'Book Income Statement'!L51+'Book Income Statement'!L53+'Book Income Statement'!L28+'Book Income Statement'!L65</f>
        <v>12631.404325977477</v>
      </c>
      <c r="M63" s="290">
        <f>'Book Income Statement'!M34+'Book Income Statement'!M42+'Book Income Statement'!M51+'Book Income Statement'!M53+'Book Income Statement'!M28+'Book Income Statement'!M65</f>
        <v>12848.234640162402</v>
      </c>
      <c r="N63" s="290">
        <f>'Book Income Statement'!N34+'Book Income Statement'!N42+'Book Income Statement'!N51+'Book Income Statement'!N53+'Book Income Statement'!N28+'Book Income Statement'!N65</f>
        <v>13071.569863772875</v>
      </c>
      <c r="O63" s="290">
        <f>'Book Income Statement'!O34+'Book Income Statement'!O42+'Book Income Statement'!O51+'Book Income Statement'!O53+'Book Income Statement'!O28+'Book Income Statement'!O65</f>
        <v>13301.60514409166</v>
      </c>
      <c r="P63" s="290">
        <f>'Book Income Statement'!P34+'Book Income Statement'!P42+'Book Income Statement'!P51+'Book Income Statement'!P53+'Book Income Statement'!P28+'Book Income Statement'!P65</f>
        <v>13538.541482820008</v>
      </c>
      <c r="Q63" s="290">
        <f>'Book Income Statement'!Q34+'Book Income Statement'!Q42+'Book Income Statement'!Q51+'Book Income Statement'!Q53+'Book Income Statement'!Q28+'Book Income Statement'!Q65</f>
        <v>13782.58591171021</v>
      </c>
      <c r="R63" s="290">
        <f>'Book Income Statement'!R34+'Book Income Statement'!R42+'Book Income Statement'!R51+'Book Income Statement'!R53+'Book Income Statement'!R28+'Book Income Statement'!R65</f>
        <v>14033.951673467118</v>
      </c>
      <c r="S63" s="290">
        <f>'Book Income Statement'!S34+'Book Income Statement'!S42+'Book Income Statement'!S51+'Book Income Statement'!S53+'Book Income Statement'!S28+'Book Income Statement'!S65</f>
        <v>14292.858408076729</v>
      </c>
      <c r="T63" s="290">
        <f>'Book Income Statement'!T34+'Book Income Statement'!T42+'Book Income Statement'!T51+'Book Income Statement'!T53+'Book Income Statement'!T28+'Book Income Statement'!T65</f>
        <v>14559.53234472463</v>
      </c>
      <c r="U63" s="290">
        <f>'Book Income Statement'!U34+'Book Income Statement'!U42+'Book Income Statement'!U51+'Book Income Statement'!U53+'Book Income Statement'!U28+'Book Income Statement'!U65</f>
        <v>14834.206499471971</v>
      </c>
      <c r="V63" s="290">
        <f>'Book Income Statement'!V34+'Book Income Statement'!V42+'Book Income Statement'!V51+'Book Income Statement'!V53+'Book Income Statement'!V28+'Book Income Statement'!V65</f>
        <v>15117.12087886173</v>
      </c>
      <c r="W63" s="290">
        <f>'Book Income Statement'!W34+'Book Income Statement'!W42+'Book Income Statement'!W51+'Book Income Statement'!W53+'Book Income Statement'!W28+'Book Income Statement'!W65</f>
        <v>15408.522689633181</v>
      </c>
      <c r="X63" s="290">
        <f>'Book Income Statement'!X34+'Book Income Statement'!X42+'Book Income Statement'!X51+'Book Income Statement'!X53+'Book Income Statement'!X28+'Book Income Statement'!X65</f>
        <v>13096.668405238845</v>
      </c>
      <c r="Y63" s="290">
        <f>'Book Income Statement'!Y34+'Book Income Statement'!Y42+'Book Income Statement'!Y51+'Book Income Statement'!Y53+'Book Income Statement'!Y28+'Book Income Statement'!Y65</f>
        <v>0</v>
      </c>
      <c r="Z63" s="290">
        <f>'Book Income Statement'!Z34+'Book Income Statement'!Z42+'Book Income Statement'!Z51+'Book Income Statement'!Z53+'Book Income Statement'!Z28+'Book Income Statement'!Z65</f>
        <v>0</v>
      </c>
      <c r="AA63" s="290">
        <f>'Book Income Statement'!AA34+'Book Income Statement'!AA42+'Book Income Statement'!AA51+'Book Income Statement'!AA53+'Book Income Statement'!AA28+'Book Income Statement'!AA65</f>
        <v>0</v>
      </c>
      <c r="AB63" s="290">
        <f>'Book Income Statement'!AB34+'Book Income Statement'!AB42+'Book Income Statement'!AB51+'Book Income Statement'!AB53+'Book Income Statement'!AB28+'Book Income Statement'!AB65</f>
        <v>0</v>
      </c>
    </row>
    <row r="64" spans="1:32">
      <c r="A64" s="511" t="s">
        <v>648</v>
      </c>
      <c r="B64" s="253"/>
      <c r="C64" s="253"/>
      <c r="D64" s="611">
        <f>0.03*D63</f>
        <v>237.23961577234121</v>
      </c>
      <c r="E64" s="611">
        <f t="shared" ref="E64:AB64" si="18">0.03*E63</f>
        <v>337.51912545716465</v>
      </c>
      <c r="F64" s="611">
        <f t="shared" si="18"/>
        <v>342.41403873304762</v>
      </c>
      <c r="G64" s="611">
        <f t="shared" si="18"/>
        <v>355.71277417565614</v>
      </c>
      <c r="H64" s="611">
        <f t="shared" si="18"/>
        <v>367.00627534319472</v>
      </c>
      <c r="I64" s="611">
        <f t="shared" si="18"/>
        <v>365.64374161565854</v>
      </c>
      <c r="J64" s="611">
        <f t="shared" si="18"/>
        <v>366.49518272129632</v>
      </c>
      <c r="K64" s="611">
        <f t="shared" si="18"/>
        <v>372.6266837351032</v>
      </c>
      <c r="L64" s="611">
        <f t="shared" si="18"/>
        <v>378.94212977932432</v>
      </c>
      <c r="M64" s="611">
        <f t="shared" si="18"/>
        <v>385.44703920487206</v>
      </c>
      <c r="N64" s="611">
        <f t="shared" si="18"/>
        <v>392.14709591318621</v>
      </c>
      <c r="O64" s="611">
        <f t="shared" si="18"/>
        <v>399.04815432274978</v>
      </c>
      <c r="P64" s="611">
        <f t="shared" si="18"/>
        <v>406.15624448460022</v>
      </c>
      <c r="Q64" s="611">
        <f t="shared" si="18"/>
        <v>413.47757735130631</v>
      </c>
      <c r="R64" s="611">
        <f t="shared" si="18"/>
        <v>421.01855020401354</v>
      </c>
      <c r="S64" s="611">
        <f t="shared" si="18"/>
        <v>428.78575224230184</v>
      </c>
      <c r="T64" s="611">
        <f t="shared" si="18"/>
        <v>436.7859703417389</v>
      </c>
      <c r="U64" s="611">
        <f t="shared" si="18"/>
        <v>445.02619498415913</v>
      </c>
      <c r="V64" s="611">
        <f t="shared" si="18"/>
        <v>453.51362636585185</v>
      </c>
      <c r="W64" s="611">
        <f t="shared" si="18"/>
        <v>462.25568068899543</v>
      </c>
      <c r="X64" s="611">
        <f t="shared" si="18"/>
        <v>392.90005215716531</v>
      </c>
      <c r="Y64" s="1060">
        <f t="shared" si="18"/>
        <v>0</v>
      </c>
      <c r="Z64" s="1060">
        <f t="shared" si="18"/>
        <v>0</v>
      </c>
      <c r="AA64" s="1060">
        <f t="shared" si="18"/>
        <v>0</v>
      </c>
      <c r="AB64" s="1061">
        <f t="shared" si="18"/>
        <v>0</v>
      </c>
    </row>
    <row r="65" spans="1:28">
      <c r="A65" s="511"/>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524"/>
    </row>
    <row r="66" spans="1:28">
      <c r="A66" s="544" t="s">
        <v>646</v>
      </c>
      <c r="B66" s="545"/>
      <c r="C66" s="545"/>
      <c r="D66" s="613">
        <f>'Project Assumptions'!$N$68*'Tax Calculations'!D64</f>
        <v>14.234376946340472</v>
      </c>
      <c r="E66" s="613">
        <f>'Project Assumptions'!$N$68*'Tax Calculations'!E64</f>
        <v>20.251147527429879</v>
      </c>
      <c r="F66" s="613">
        <f>'Project Assumptions'!$N$68*'Tax Calculations'!F64</f>
        <v>20.544842323982856</v>
      </c>
      <c r="G66" s="613">
        <f>'Project Assumptions'!$N$68*'Tax Calculations'!G64</f>
        <v>21.342766450539369</v>
      </c>
      <c r="H66" s="613">
        <f>'Project Assumptions'!$N$68*'Tax Calculations'!H64</f>
        <v>22.020376520591682</v>
      </c>
      <c r="I66" s="613">
        <f>'Project Assumptions'!$N$68*'Tax Calculations'!I64</f>
        <v>21.938624496939511</v>
      </c>
      <c r="J66" s="613">
        <f>'Project Assumptions'!$N$68*'Tax Calculations'!J64</f>
        <v>21.98971096327778</v>
      </c>
      <c r="K66" s="613">
        <f>'Project Assumptions'!$N$68*'Tax Calculations'!K64</f>
        <v>22.357601024106192</v>
      </c>
      <c r="L66" s="613">
        <f>'Project Assumptions'!$N$68*'Tax Calculations'!L64</f>
        <v>22.73652778675946</v>
      </c>
      <c r="M66" s="613">
        <f>'Project Assumptions'!$N$68*'Tax Calculations'!M64</f>
        <v>23.126822352292322</v>
      </c>
      <c r="N66" s="613">
        <f>'Project Assumptions'!$N$68*'Tax Calculations'!N64</f>
        <v>23.528825754791171</v>
      </c>
      <c r="O66" s="613">
        <f>'Project Assumptions'!$N$68*'Tax Calculations'!O64</f>
        <v>23.942889259364986</v>
      </c>
      <c r="P66" s="613">
        <f>'Project Assumptions'!$N$68*'Tax Calculations'!P64</f>
        <v>24.369374669076013</v>
      </c>
      <c r="Q66" s="613">
        <f>'Project Assumptions'!$N$68*'Tax Calculations'!Q64</f>
        <v>24.808654641078377</v>
      </c>
      <c r="R66" s="613">
        <f>'Project Assumptions'!$N$68*'Tax Calculations'!R64</f>
        <v>25.261113012240813</v>
      </c>
      <c r="S66" s="613">
        <f>'Project Assumptions'!$N$68*'Tax Calculations'!S64</f>
        <v>25.727145134538109</v>
      </c>
      <c r="T66" s="613">
        <f>'Project Assumptions'!$N$68*'Tax Calculations'!T64</f>
        <v>26.207158220504333</v>
      </c>
      <c r="U66" s="613">
        <f>'Project Assumptions'!$N$68*'Tax Calculations'!U64</f>
        <v>26.701571699049548</v>
      </c>
      <c r="V66" s="613">
        <f>'Project Assumptions'!$N$68*'Tax Calculations'!V64</f>
        <v>27.210817581951108</v>
      </c>
      <c r="W66" s="613">
        <f>'Project Assumptions'!$N$68*'Tax Calculations'!W64</f>
        <v>27.735340841339724</v>
      </c>
      <c r="X66" s="613">
        <f>'Project Assumptions'!$N$68*'Tax Calculations'!X64</f>
        <v>23.574003129429919</v>
      </c>
      <c r="Y66" s="613">
        <f>'Project Assumptions'!$N$68*'Tax Calculations'!Y64</f>
        <v>0</v>
      </c>
      <c r="Z66" s="613">
        <f>'Project Assumptions'!$N$68*'Tax Calculations'!Z64</f>
        <v>0</v>
      </c>
      <c r="AA66" s="613">
        <f>'Project Assumptions'!$N$68*'Tax Calculations'!AA64</f>
        <v>0</v>
      </c>
      <c r="AB66" s="614">
        <f>'Project Assumptions'!$N$68*'Tax Calculations'!AB64</f>
        <v>0</v>
      </c>
    </row>
  </sheetData>
  <customSheetViews>
    <customSheetView guid="{9D7575BF-255B-11D2-8267-00A0D1027254}" showPageBreaks="1" showRuler="0">
      <colBreaks count="2" manualBreakCount="2">
        <brk id="16" max="48" man="1"/>
        <brk id="32"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54" orientation="landscape" r:id="rId3"/>
  <headerFooter alignWithMargins="0">
    <oddFooter>&amp;L&amp;D   &amp;T&amp;R&amp;F
&amp;A &amp;P</oddFooter>
  </headerFooter>
  <colBreaks count="2" manualBreakCount="2">
    <brk id="15" max="63" man="1"/>
    <brk id="31" max="1048575" man="1"/>
  </col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98"/>
  <sheetViews>
    <sheetView view="pageBreakPreview" topLeftCell="A25" zoomScale="85" zoomScaleNormal="75" zoomScaleSheetLayoutView="85" workbookViewId="0">
      <selection activeCell="E45" sqref="E45"/>
    </sheetView>
  </sheetViews>
  <sheetFormatPr defaultColWidth="9.28515625" defaultRowHeight="11.25" outlineLevelRow="1"/>
  <cols>
    <col min="1" max="1" width="28" style="205" customWidth="1"/>
    <col min="2" max="28" width="9.28515625" style="205" customWidth="1"/>
    <col min="29" max="16384" width="9.28515625" style="8"/>
  </cols>
  <sheetData>
    <row r="1" spans="1:31" s="21" customFormat="1" ht="20.25">
      <c r="A1" s="501" t="str">
        <f>'Project Assumptions'!$A$2</f>
        <v>GLEASON, TN</v>
      </c>
      <c r="B1" s="616"/>
      <c r="C1" s="265"/>
      <c r="D1" s="266"/>
      <c r="E1" s="266"/>
      <c r="F1" s="266"/>
      <c r="G1" s="266"/>
      <c r="H1" s="266"/>
      <c r="I1" s="266"/>
      <c r="J1" s="266"/>
      <c r="K1" s="266"/>
      <c r="L1" s="266"/>
      <c r="M1" s="266"/>
      <c r="N1" s="266"/>
      <c r="O1" s="266"/>
      <c r="P1" s="266"/>
      <c r="Q1" s="266"/>
      <c r="R1" s="266"/>
      <c r="S1" s="266"/>
      <c r="T1" s="266"/>
      <c r="U1" s="266"/>
      <c r="V1" s="266"/>
      <c r="W1" s="266"/>
      <c r="X1" s="266"/>
      <c r="Y1" s="266"/>
      <c r="Z1" s="266"/>
      <c r="AA1" s="266"/>
      <c r="AB1" s="266"/>
    </row>
    <row r="2" spans="1:31" s="21" customFormat="1" ht="12.75">
      <c r="A2" s="503" t="s">
        <v>41</v>
      </c>
      <c r="B2" s="583"/>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row>
    <row r="3" spans="1:31" ht="15.6" customHeight="1"/>
    <row r="4" spans="1:31">
      <c r="D4" s="257">
        <v>1</v>
      </c>
      <c r="E4" s="257">
        <f>D4+1</f>
        <v>2</v>
      </c>
      <c r="F4" s="257">
        <f t="shared" ref="F4:AB4" si="0">E4+1</f>
        <v>3</v>
      </c>
      <c r="G4" s="257">
        <f t="shared" si="0"/>
        <v>4</v>
      </c>
      <c r="H4" s="257">
        <f t="shared" si="0"/>
        <v>5</v>
      </c>
      <c r="I4" s="268">
        <f t="shared" si="0"/>
        <v>6</v>
      </c>
      <c r="J4" s="257">
        <f t="shared" si="0"/>
        <v>7</v>
      </c>
      <c r="K4" s="258">
        <f t="shared" si="0"/>
        <v>8</v>
      </c>
      <c r="L4" s="257">
        <f t="shared" si="0"/>
        <v>9</v>
      </c>
      <c r="M4" s="257">
        <f t="shared" si="0"/>
        <v>10</v>
      </c>
      <c r="N4" s="257">
        <f t="shared" si="0"/>
        <v>11</v>
      </c>
      <c r="O4" s="257">
        <f t="shared" si="0"/>
        <v>12</v>
      </c>
      <c r="P4" s="257">
        <f t="shared" si="0"/>
        <v>13</v>
      </c>
      <c r="Q4" s="258">
        <f t="shared" si="0"/>
        <v>14</v>
      </c>
      <c r="R4" s="257">
        <f t="shared" si="0"/>
        <v>15</v>
      </c>
      <c r="S4" s="257">
        <f t="shared" si="0"/>
        <v>16</v>
      </c>
      <c r="T4" s="257">
        <f t="shared" si="0"/>
        <v>17</v>
      </c>
      <c r="U4" s="257">
        <f t="shared" si="0"/>
        <v>18</v>
      </c>
      <c r="V4" s="257">
        <f t="shared" si="0"/>
        <v>19</v>
      </c>
      <c r="W4" s="258">
        <f t="shared" si="0"/>
        <v>20</v>
      </c>
      <c r="X4" s="257">
        <f t="shared" si="0"/>
        <v>21</v>
      </c>
      <c r="Y4" s="257">
        <f t="shared" si="0"/>
        <v>22</v>
      </c>
      <c r="Z4" s="257">
        <f t="shared" si="0"/>
        <v>23</v>
      </c>
      <c r="AA4" s="257">
        <f t="shared" si="0"/>
        <v>24</v>
      </c>
      <c r="AB4" s="257">
        <f t="shared" si="0"/>
        <v>25</v>
      </c>
    </row>
    <row r="5" spans="1:31" ht="12" customHeight="1">
      <c r="A5" s="617" t="s">
        <v>243</v>
      </c>
      <c r="B5" s="534"/>
      <c r="C5" s="618"/>
      <c r="D5" s="505">
        <f>YEAR('Project Assumptions'!G16)</f>
        <v>2000</v>
      </c>
      <c r="E5" s="505">
        <f>D5+1</f>
        <v>2001</v>
      </c>
      <c r="F5" s="505">
        <f t="shared" ref="F5:AB5" si="1">E5+1</f>
        <v>2002</v>
      </c>
      <c r="G5" s="505">
        <f t="shared" si="1"/>
        <v>2003</v>
      </c>
      <c r="H5" s="505">
        <f t="shared" si="1"/>
        <v>2004</v>
      </c>
      <c r="I5" s="505">
        <f t="shared" si="1"/>
        <v>2005</v>
      </c>
      <c r="J5" s="505">
        <f t="shared" si="1"/>
        <v>2006</v>
      </c>
      <c r="K5" s="505">
        <f t="shared" si="1"/>
        <v>2007</v>
      </c>
      <c r="L5" s="505">
        <f t="shared" si="1"/>
        <v>2008</v>
      </c>
      <c r="M5" s="505">
        <f t="shared" si="1"/>
        <v>2009</v>
      </c>
      <c r="N5" s="505">
        <f t="shared" si="1"/>
        <v>2010</v>
      </c>
      <c r="O5" s="505">
        <f t="shared" si="1"/>
        <v>2011</v>
      </c>
      <c r="P5" s="505">
        <f t="shared" si="1"/>
        <v>2012</v>
      </c>
      <c r="Q5" s="505">
        <f t="shared" si="1"/>
        <v>2013</v>
      </c>
      <c r="R5" s="505">
        <f t="shared" si="1"/>
        <v>2014</v>
      </c>
      <c r="S5" s="505">
        <f t="shared" si="1"/>
        <v>2015</v>
      </c>
      <c r="T5" s="505">
        <f t="shared" si="1"/>
        <v>2016</v>
      </c>
      <c r="U5" s="505">
        <f t="shared" si="1"/>
        <v>2017</v>
      </c>
      <c r="V5" s="505">
        <f t="shared" si="1"/>
        <v>2018</v>
      </c>
      <c r="W5" s="505">
        <f t="shared" si="1"/>
        <v>2019</v>
      </c>
      <c r="X5" s="505">
        <f t="shared" si="1"/>
        <v>2020</v>
      </c>
      <c r="Y5" s="505">
        <f t="shared" si="1"/>
        <v>2021</v>
      </c>
      <c r="Z5" s="505">
        <f t="shared" si="1"/>
        <v>2022</v>
      </c>
      <c r="AA5" s="505">
        <f t="shared" si="1"/>
        <v>2023</v>
      </c>
      <c r="AB5" s="506">
        <f t="shared" si="1"/>
        <v>2024</v>
      </c>
      <c r="AC5" s="23"/>
      <c r="AD5" s="23"/>
    </row>
    <row r="6" spans="1:31" ht="12" customHeight="1">
      <c r="A6" s="511"/>
      <c r="B6" s="297" t="s">
        <v>0</v>
      </c>
      <c r="C6" s="253"/>
      <c r="D6" s="619"/>
      <c r="E6" s="620"/>
      <c r="F6" s="620"/>
      <c r="G6" s="620"/>
      <c r="H6" s="620"/>
      <c r="I6" s="620"/>
      <c r="J6" s="620"/>
      <c r="K6" s="620"/>
      <c r="L6" s="620"/>
      <c r="M6" s="620"/>
      <c r="N6" s="620"/>
      <c r="O6" s="620"/>
      <c r="P6" s="620"/>
      <c r="Q6" s="620"/>
      <c r="R6" s="620"/>
      <c r="S6" s="253"/>
      <c r="T6" s="253"/>
      <c r="U6" s="253"/>
      <c r="V6" s="253"/>
      <c r="W6" s="253"/>
      <c r="X6" s="253"/>
      <c r="Y6" s="253"/>
      <c r="Z6" s="253"/>
      <c r="AA6" s="253"/>
      <c r="AB6" s="524"/>
      <c r="AE6" s="24"/>
    </row>
    <row r="7" spans="1:31" ht="12" customHeight="1">
      <c r="A7" s="517" t="s">
        <v>251</v>
      </c>
      <c r="B7" s="621">
        <v>15</v>
      </c>
      <c r="C7" s="295"/>
      <c r="D7" s="622">
        <f t="shared" ref="D7:AB7" si="2">IF(D4&gt;$B$7+1,0,IF($B$7=15,VLOOKUP(D4,$A$57:$B$72,2),VLOOKUP(D4,$A$77:$B$97,2)))</f>
        <v>0.05</v>
      </c>
      <c r="E7" s="622">
        <f t="shared" si="2"/>
        <v>9.5000000000000001E-2</v>
      </c>
      <c r="F7" s="622">
        <f t="shared" si="2"/>
        <v>8.5500000000000007E-2</v>
      </c>
      <c r="G7" s="622">
        <f t="shared" si="2"/>
        <v>7.6999999999999999E-2</v>
      </c>
      <c r="H7" s="622">
        <f t="shared" si="2"/>
        <v>6.93E-2</v>
      </c>
      <c r="I7" s="622">
        <f t="shared" si="2"/>
        <v>6.2300000000000001E-2</v>
      </c>
      <c r="J7" s="622">
        <f t="shared" si="2"/>
        <v>5.8999999999999997E-2</v>
      </c>
      <c r="K7" s="622">
        <f t="shared" si="2"/>
        <v>5.91E-2</v>
      </c>
      <c r="L7" s="622">
        <f t="shared" si="2"/>
        <v>5.8999999999999997E-2</v>
      </c>
      <c r="M7" s="622">
        <f t="shared" si="2"/>
        <v>5.91E-2</v>
      </c>
      <c r="N7" s="622">
        <f t="shared" si="2"/>
        <v>5.8999999999999997E-2</v>
      </c>
      <c r="O7" s="622">
        <f t="shared" si="2"/>
        <v>5.91E-2</v>
      </c>
      <c r="P7" s="622">
        <f t="shared" si="2"/>
        <v>5.8999999999999997E-2</v>
      </c>
      <c r="Q7" s="622">
        <f t="shared" si="2"/>
        <v>5.91E-2</v>
      </c>
      <c r="R7" s="622">
        <f t="shared" si="2"/>
        <v>5.8999999999999997E-2</v>
      </c>
      <c r="S7" s="622">
        <f t="shared" si="2"/>
        <v>2.9499999999999998E-2</v>
      </c>
      <c r="T7" s="622">
        <f t="shared" si="2"/>
        <v>0</v>
      </c>
      <c r="U7" s="622">
        <f t="shared" si="2"/>
        <v>0</v>
      </c>
      <c r="V7" s="622">
        <f t="shared" si="2"/>
        <v>0</v>
      </c>
      <c r="W7" s="622">
        <f t="shared" si="2"/>
        <v>0</v>
      </c>
      <c r="X7" s="622">
        <f t="shared" si="2"/>
        <v>0</v>
      </c>
      <c r="Y7" s="622">
        <f t="shared" si="2"/>
        <v>0</v>
      </c>
      <c r="Z7" s="622">
        <f t="shared" si="2"/>
        <v>0</v>
      </c>
      <c r="AA7" s="622">
        <f t="shared" si="2"/>
        <v>0</v>
      </c>
      <c r="AB7" s="623">
        <f t="shared" si="2"/>
        <v>0</v>
      </c>
      <c r="AC7" s="25"/>
      <c r="AD7" s="25"/>
      <c r="AE7" s="26"/>
    </row>
    <row r="8" spans="1:31" ht="12" customHeight="1">
      <c r="A8" s="517" t="s">
        <v>245</v>
      </c>
      <c r="B8" s="621">
        <v>5</v>
      </c>
      <c r="C8" s="624"/>
      <c r="D8" s="622">
        <f>IF(D4&gt;$B$8,0,1/$B$8)*'Book Income Statement'!D$6/12</f>
        <v>0.11666666666666668</v>
      </c>
      <c r="E8" s="622">
        <f>IF(E$4&lt;=$B8,(1/$B8),IF(E$4=$B8+1,(1/$B8)-$D8,0))</f>
        <v>0.2</v>
      </c>
      <c r="F8" s="622">
        <f t="shared" ref="F8:AB8" si="3">IF(F4&lt;=$B$8,(1/$B$8),IF(F4=$B$8+1,(1/$B$8)-$D$8,0))</f>
        <v>0.2</v>
      </c>
      <c r="G8" s="622">
        <f t="shared" si="3"/>
        <v>0.2</v>
      </c>
      <c r="H8" s="622">
        <f t="shared" si="3"/>
        <v>0.2</v>
      </c>
      <c r="I8" s="622">
        <f t="shared" si="3"/>
        <v>8.3333333333333329E-2</v>
      </c>
      <c r="J8" s="622">
        <f t="shared" si="3"/>
        <v>0</v>
      </c>
      <c r="K8" s="622">
        <f t="shared" si="3"/>
        <v>0</v>
      </c>
      <c r="L8" s="622">
        <f t="shared" si="3"/>
        <v>0</v>
      </c>
      <c r="M8" s="622">
        <f t="shared" si="3"/>
        <v>0</v>
      </c>
      <c r="N8" s="622">
        <f t="shared" si="3"/>
        <v>0</v>
      </c>
      <c r="O8" s="622">
        <f t="shared" si="3"/>
        <v>0</v>
      </c>
      <c r="P8" s="622">
        <f t="shared" si="3"/>
        <v>0</v>
      </c>
      <c r="Q8" s="622">
        <f t="shared" si="3"/>
        <v>0</v>
      </c>
      <c r="R8" s="622">
        <f t="shared" si="3"/>
        <v>0</v>
      </c>
      <c r="S8" s="622">
        <f t="shared" si="3"/>
        <v>0</v>
      </c>
      <c r="T8" s="622">
        <f t="shared" si="3"/>
        <v>0</v>
      </c>
      <c r="U8" s="622">
        <f t="shared" si="3"/>
        <v>0</v>
      </c>
      <c r="V8" s="622">
        <f t="shared" si="3"/>
        <v>0</v>
      </c>
      <c r="W8" s="622">
        <f t="shared" si="3"/>
        <v>0</v>
      </c>
      <c r="X8" s="622">
        <f t="shared" si="3"/>
        <v>0</v>
      </c>
      <c r="Y8" s="622">
        <f t="shared" si="3"/>
        <v>0</v>
      </c>
      <c r="Z8" s="622">
        <f t="shared" si="3"/>
        <v>0</v>
      </c>
      <c r="AA8" s="622">
        <f t="shared" si="3"/>
        <v>0</v>
      </c>
      <c r="AB8" s="623">
        <f t="shared" si="3"/>
        <v>0</v>
      </c>
      <c r="AC8" s="25"/>
      <c r="AD8" s="25"/>
      <c r="AE8" s="26"/>
    </row>
    <row r="9" spans="1:31" ht="12" customHeight="1">
      <c r="A9" s="517" t="s">
        <v>94</v>
      </c>
      <c r="B9" s="624">
        <f>MAX('Project Assumptions'!$F$39, 'Project Assumptions'!$G$39,'Project Assumptions'!$H$39)</f>
        <v>20</v>
      </c>
      <c r="C9" s="625"/>
      <c r="D9" s="622">
        <f>IF(D4&gt;$B$9,0,(1/$B$9))*'Book Income Statement'!D$6/12</f>
        <v>2.9166666666666671E-2</v>
      </c>
      <c r="E9" s="622">
        <f>IF(E$4&lt;=$B$9,(1/$B$9),IF(E$4=$B$9+1,(1/$B$9)-$D$9,0))</f>
        <v>0.05</v>
      </c>
      <c r="F9" s="622">
        <f t="shared" ref="F9:AB9" si="4">IF(F$4&lt;=$B$9,(1/$B$9),IF(F$4=$B$9+1,(1/$B$9)-$D$9,0))</f>
        <v>0.05</v>
      </c>
      <c r="G9" s="622">
        <f t="shared" si="4"/>
        <v>0.05</v>
      </c>
      <c r="H9" s="622">
        <f t="shared" si="4"/>
        <v>0.05</v>
      </c>
      <c r="I9" s="622">
        <f t="shared" si="4"/>
        <v>0.05</v>
      </c>
      <c r="J9" s="622">
        <f t="shared" si="4"/>
        <v>0.05</v>
      </c>
      <c r="K9" s="622">
        <f t="shared" si="4"/>
        <v>0.05</v>
      </c>
      <c r="L9" s="622">
        <f t="shared" si="4"/>
        <v>0.05</v>
      </c>
      <c r="M9" s="622">
        <f t="shared" si="4"/>
        <v>0.05</v>
      </c>
      <c r="N9" s="622">
        <f t="shared" si="4"/>
        <v>0.05</v>
      </c>
      <c r="O9" s="622">
        <f t="shared" si="4"/>
        <v>0.05</v>
      </c>
      <c r="P9" s="622">
        <f t="shared" si="4"/>
        <v>0.05</v>
      </c>
      <c r="Q9" s="622">
        <f t="shared" si="4"/>
        <v>0.05</v>
      </c>
      <c r="R9" s="622">
        <f t="shared" si="4"/>
        <v>0.05</v>
      </c>
      <c r="S9" s="622">
        <f t="shared" si="4"/>
        <v>0.05</v>
      </c>
      <c r="T9" s="622">
        <f t="shared" si="4"/>
        <v>0.05</v>
      </c>
      <c r="U9" s="622">
        <f t="shared" si="4"/>
        <v>0.05</v>
      </c>
      <c r="V9" s="622">
        <f t="shared" si="4"/>
        <v>0.05</v>
      </c>
      <c r="W9" s="622">
        <f t="shared" si="4"/>
        <v>0.05</v>
      </c>
      <c r="X9" s="622">
        <f t="shared" si="4"/>
        <v>2.0833333333333332E-2</v>
      </c>
      <c r="Y9" s="622">
        <f t="shared" si="4"/>
        <v>0</v>
      </c>
      <c r="Z9" s="622">
        <f t="shared" si="4"/>
        <v>0</v>
      </c>
      <c r="AA9" s="622">
        <f t="shared" si="4"/>
        <v>0</v>
      </c>
      <c r="AB9" s="623">
        <f t="shared" si="4"/>
        <v>0</v>
      </c>
      <c r="AC9" s="25"/>
      <c r="AD9" s="25"/>
      <c r="AE9" s="26"/>
    </row>
    <row r="10" spans="1:31" ht="12" customHeight="1">
      <c r="A10" s="511"/>
      <c r="B10" s="624"/>
      <c r="C10" s="253"/>
      <c r="D10" s="620"/>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524"/>
    </row>
    <row r="11" spans="1:31" ht="12" customHeight="1">
      <c r="A11" s="517" t="s">
        <v>252</v>
      </c>
      <c r="B11" s="591">
        <f>'Project Assumptions'!C31-'Project Assumptions'!C25+'Project Assumptions'!C55+'Project Assumptions'!C59+'Project Assumptions'!C34</f>
        <v>171937.36099999998</v>
      </c>
      <c r="C11" s="295"/>
      <c r="D11" s="591">
        <f>$B$11*D7</f>
        <v>8596.8680499999991</v>
      </c>
      <c r="E11" s="591">
        <f t="shared" ref="E11:AB11" si="5">$B$11*E7</f>
        <v>16334.049294999997</v>
      </c>
      <c r="F11" s="591">
        <f t="shared" si="5"/>
        <v>14700.644365499998</v>
      </c>
      <c r="G11" s="591">
        <f t="shared" si="5"/>
        <v>13239.176796999998</v>
      </c>
      <c r="H11" s="591">
        <f t="shared" si="5"/>
        <v>11915.259117299998</v>
      </c>
      <c r="I11" s="591">
        <f t="shared" si="5"/>
        <v>10711.697590299998</v>
      </c>
      <c r="J11" s="591">
        <f t="shared" si="5"/>
        <v>10144.304298999998</v>
      </c>
      <c r="K11" s="591">
        <f t="shared" si="5"/>
        <v>10161.498035099998</v>
      </c>
      <c r="L11" s="591">
        <f t="shared" si="5"/>
        <v>10144.304298999998</v>
      </c>
      <c r="M11" s="591">
        <f t="shared" si="5"/>
        <v>10161.498035099998</v>
      </c>
      <c r="N11" s="591">
        <f t="shared" si="5"/>
        <v>10144.304298999998</v>
      </c>
      <c r="O11" s="591">
        <f t="shared" si="5"/>
        <v>10161.498035099998</v>
      </c>
      <c r="P11" s="591">
        <f t="shared" si="5"/>
        <v>10144.304298999998</v>
      </c>
      <c r="Q11" s="591">
        <f t="shared" si="5"/>
        <v>10161.498035099998</v>
      </c>
      <c r="R11" s="591">
        <f t="shared" si="5"/>
        <v>10144.304298999998</v>
      </c>
      <c r="S11" s="591">
        <f t="shared" si="5"/>
        <v>5072.1521494999988</v>
      </c>
      <c r="T11" s="591">
        <f t="shared" si="5"/>
        <v>0</v>
      </c>
      <c r="U11" s="591">
        <f t="shared" si="5"/>
        <v>0</v>
      </c>
      <c r="V11" s="591">
        <f t="shared" si="5"/>
        <v>0</v>
      </c>
      <c r="W11" s="591">
        <f t="shared" si="5"/>
        <v>0</v>
      </c>
      <c r="X11" s="591">
        <f t="shared" si="5"/>
        <v>0</v>
      </c>
      <c r="Y11" s="591">
        <f t="shared" si="5"/>
        <v>0</v>
      </c>
      <c r="Z11" s="591">
        <f t="shared" si="5"/>
        <v>0</v>
      </c>
      <c r="AA11" s="591">
        <f t="shared" si="5"/>
        <v>0</v>
      </c>
      <c r="AB11" s="626">
        <f t="shared" si="5"/>
        <v>0</v>
      </c>
      <c r="AC11" s="11"/>
      <c r="AD11" s="11"/>
      <c r="AE11" s="11"/>
    </row>
    <row r="12" spans="1:31" ht="12" customHeight="1">
      <c r="A12" s="517" t="s">
        <v>246</v>
      </c>
      <c r="B12" s="285">
        <f>'Project Assumptions'!C44-'Project Assumptions'!C34-'Project Assumptions'!C42-'Project Assumptions'!C41</f>
        <v>2040.5889999999999</v>
      </c>
      <c r="C12" s="295"/>
      <c r="D12" s="285">
        <f>$B$12*D8</f>
        <v>238.06871666666669</v>
      </c>
      <c r="E12" s="285">
        <f t="shared" ref="E12:AB12" si="6">$B$12*E8</f>
        <v>408.11779999999999</v>
      </c>
      <c r="F12" s="285">
        <f t="shared" si="6"/>
        <v>408.11779999999999</v>
      </c>
      <c r="G12" s="285">
        <f t="shared" si="6"/>
        <v>408.11779999999999</v>
      </c>
      <c r="H12" s="285">
        <f t="shared" si="6"/>
        <v>408.11779999999999</v>
      </c>
      <c r="I12" s="285">
        <f t="shared" si="6"/>
        <v>170.04908333333333</v>
      </c>
      <c r="J12" s="285">
        <f t="shared" si="6"/>
        <v>0</v>
      </c>
      <c r="K12" s="285">
        <f t="shared" si="6"/>
        <v>0</v>
      </c>
      <c r="L12" s="285">
        <f t="shared" si="6"/>
        <v>0</v>
      </c>
      <c r="M12" s="285">
        <f t="shared" si="6"/>
        <v>0</v>
      </c>
      <c r="N12" s="285">
        <f t="shared" si="6"/>
        <v>0</v>
      </c>
      <c r="O12" s="285">
        <f t="shared" si="6"/>
        <v>0</v>
      </c>
      <c r="P12" s="285">
        <f t="shared" si="6"/>
        <v>0</v>
      </c>
      <c r="Q12" s="285">
        <f t="shared" si="6"/>
        <v>0</v>
      </c>
      <c r="R12" s="285">
        <f t="shared" si="6"/>
        <v>0</v>
      </c>
      <c r="S12" s="285">
        <f t="shared" si="6"/>
        <v>0</v>
      </c>
      <c r="T12" s="285">
        <f t="shared" si="6"/>
        <v>0</v>
      </c>
      <c r="U12" s="285">
        <f t="shared" si="6"/>
        <v>0</v>
      </c>
      <c r="V12" s="285">
        <f t="shared" si="6"/>
        <v>0</v>
      </c>
      <c r="W12" s="285">
        <f t="shared" si="6"/>
        <v>0</v>
      </c>
      <c r="X12" s="285">
        <f t="shared" si="6"/>
        <v>0</v>
      </c>
      <c r="Y12" s="285">
        <f t="shared" si="6"/>
        <v>0</v>
      </c>
      <c r="Z12" s="285">
        <f t="shared" si="6"/>
        <v>0</v>
      </c>
      <c r="AA12" s="285">
        <f t="shared" si="6"/>
        <v>0</v>
      </c>
      <c r="AB12" s="519">
        <f t="shared" si="6"/>
        <v>0</v>
      </c>
      <c r="AC12" s="11"/>
      <c r="AD12" s="11"/>
      <c r="AE12" s="28"/>
    </row>
    <row r="13" spans="1:31" ht="12" customHeight="1">
      <c r="A13" s="517" t="s">
        <v>247</v>
      </c>
      <c r="B13" s="285">
        <f>'Project Assumptions'!C47+'Project Assumptions'!C48+'Project Assumptions'!C49</f>
        <v>0</v>
      </c>
      <c r="C13" s="295"/>
      <c r="D13" s="285">
        <f>$B$13*D9</f>
        <v>0</v>
      </c>
      <c r="E13" s="285">
        <f>$B$13*E9</f>
        <v>0</v>
      </c>
      <c r="F13" s="285">
        <f t="shared" ref="F13:AB13" si="7">$B$13*F9</f>
        <v>0</v>
      </c>
      <c r="G13" s="285">
        <f t="shared" si="7"/>
        <v>0</v>
      </c>
      <c r="H13" s="285">
        <f t="shared" si="7"/>
        <v>0</v>
      </c>
      <c r="I13" s="285">
        <f t="shared" si="7"/>
        <v>0</v>
      </c>
      <c r="J13" s="285">
        <f t="shared" si="7"/>
        <v>0</v>
      </c>
      <c r="K13" s="285">
        <f t="shared" si="7"/>
        <v>0</v>
      </c>
      <c r="L13" s="285">
        <f t="shared" si="7"/>
        <v>0</v>
      </c>
      <c r="M13" s="285">
        <f t="shared" si="7"/>
        <v>0</v>
      </c>
      <c r="N13" s="285">
        <f t="shared" si="7"/>
        <v>0</v>
      </c>
      <c r="O13" s="285">
        <f t="shared" si="7"/>
        <v>0</v>
      </c>
      <c r="P13" s="285">
        <f t="shared" si="7"/>
        <v>0</v>
      </c>
      <c r="Q13" s="285">
        <f t="shared" si="7"/>
        <v>0</v>
      </c>
      <c r="R13" s="285">
        <f t="shared" si="7"/>
        <v>0</v>
      </c>
      <c r="S13" s="285">
        <f t="shared" si="7"/>
        <v>0</v>
      </c>
      <c r="T13" s="285">
        <f t="shared" si="7"/>
        <v>0</v>
      </c>
      <c r="U13" s="285">
        <f t="shared" si="7"/>
        <v>0</v>
      </c>
      <c r="V13" s="285">
        <f t="shared" si="7"/>
        <v>0</v>
      </c>
      <c r="W13" s="285">
        <f t="shared" si="7"/>
        <v>0</v>
      </c>
      <c r="X13" s="285">
        <f t="shared" si="7"/>
        <v>0</v>
      </c>
      <c r="Y13" s="285">
        <f t="shared" si="7"/>
        <v>0</v>
      </c>
      <c r="Z13" s="285">
        <f t="shared" si="7"/>
        <v>0</v>
      </c>
      <c r="AA13" s="285">
        <f t="shared" si="7"/>
        <v>0</v>
      </c>
      <c r="AB13" s="519">
        <f t="shared" si="7"/>
        <v>0</v>
      </c>
      <c r="AC13" s="11"/>
      <c r="AD13" s="11"/>
      <c r="AE13" s="28"/>
    </row>
    <row r="14" spans="1:31" ht="12" customHeight="1">
      <c r="A14" s="517" t="s">
        <v>440</v>
      </c>
      <c r="B14" s="300">
        <v>0</v>
      </c>
      <c r="C14" s="295"/>
      <c r="D14" s="300">
        <f>B14</f>
        <v>0</v>
      </c>
      <c r="E14" s="627">
        <v>0</v>
      </c>
      <c r="F14" s="627">
        <v>0</v>
      </c>
      <c r="G14" s="627">
        <v>0</v>
      </c>
      <c r="H14" s="627">
        <v>0</v>
      </c>
      <c r="I14" s="627">
        <v>0</v>
      </c>
      <c r="J14" s="627">
        <v>0</v>
      </c>
      <c r="K14" s="627">
        <v>0</v>
      </c>
      <c r="L14" s="627">
        <v>0</v>
      </c>
      <c r="M14" s="627">
        <v>0</v>
      </c>
      <c r="N14" s="627">
        <v>0</v>
      </c>
      <c r="O14" s="627">
        <v>0</v>
      </c>
      <c r="P14" s="627">
        <v>0</v>
      </c>
      <c r="Q14" s="627">
        <v>0</v>
      </c>
      <c r="R14" s="627">
        <v>0</v>
      </c>
      <c r="S14" s="627">
        <v>0</v>
      </c>
      <c r="T14" s="627">
        <v>0</v>
      </c>
      <c r="U14" s="627">
        <v>0</v>
      </c>
      <c r="V14" s="627">
        <v>0</v>
      </c>
      <c r="W14" s="627">
        <v>0</v>
      </c>
      <c r="X14" s="627">
        <v>0</v>
      </c>
      <c r="Y14" s="627">
        <v>0</v>
      </c>
      <c r="Z14" s="627">
        <v>0</v>
      </c>
      <c r="AA14" s="627">
        <v>0</v>
      </c>
      <c r="AB14" s="628">
        <v>0</v>
      </c>
      <c r="AC14" s="11"/>
      <c r="AD14" s="11"/>
      <c r="AE14" s="28"/>
    </row>
    <row r="15" spans="1:31" ht="12" customHeight="1">
      <c r="A15" s="629" t="s">
        <v>248</v>
      </c>
      <c r="B15" s="529">
        <f>SUM(B11:B14)</f>
        <v>173977.94999999998</v>
      </c>
      <c r="C15" s="630"/>
      <c r="D15" s="529">
        <f>SUM(D11:D14)</f>
        <v>8834.9367666666658</v>
      </c>
      <c r="E15" s="529">
        <f>SUM(E11:E14)</f>
        <v>16742.167094999997</v>
      </c>
      <c r="F15" s="529">
        <f t="shared" ref="F15:AB15" si="8">SUM(F11:F14)</f>
        <v>15108.762165499998</v>
      </c>
      <c r="G15" s="529">
        <f t="shared" si="8"/>
        <v>13647.294596999998</v>
      </c>
      <c r="H15" s="529">
        <f t="shared" si="8"/>
        <v>12323.376917299998</v>
      </c>
      <c r="I15" s="529">
        <f t="shared" si="8"/>
        <v>10881.746673633332</v>
      </c>
      <c r="J15" s="529">
        <f t="shared" si="8"/>
        <v>10144.304298999998</v>
      </c>
      <c r="K15" s="529">
        <f t="shared" si="8"/>
        <v>10161.498035099998</v>
      </c>
      <c r="L15" s="529">
        <f t="shared" si="8"/>
        <v>10144.304298999998</v>
      </c>
      <c r="M15" s="529">
        <f t="shared" si="8"/>
        <v>10161.498035099998</v>
      </c>
      <c r="N15" s="529">
        <f t="shared" si="8"/>
        <v>10144.304298999998</v>
      </c>
      <c r="O15" s="529">
        <f t="shared" si="8"/>
        <v>10161.498035099998</v>
      </c>
      <c r="P15" s="529">
        <f t="shared" si="8"/>
        <v>10144.304298999998</v>
      </c>
      <c r="Q15" s="529">
        <f t="shared" si="8"/>
        <v>10161.498035099998</v>
      </c>
      <c r="R15" s="529">
        <f t="shared" si="8"/>
        <v>10144.304298999998</v>
      </c>
      <c r="S15" s="529">
        <f t="shared" si="8"/>
        <v>5072.1521494999988</v>
      </c>
      <c r="T15" s="529">
        <f t="shared" si="8"/>
        <v>0</v>
      </c>
      <c r="U15" s="529">
        <f t="shared" si="8"/>
        <v>0</v>
      </c>
      <c r="V15" s="529">
        <f t="shared" si="8"/>
        <v>0</v>
      </c>
      <c r="W15" s="529">
        <f t="shared" si="8"/>
        <v>0</v>
      </c>
      <c r="X15" s="529">
        <f t="shared" si="8"/>
        <v>0</v>
      </c>
      <c r="Y15" s="529">
        <f t="shared" si="8"/>
        <v>0</v>
      </c>
      <c r="Z15" s="529">
        <f t="shared" si="8"/>
        <v>0</v>
      </c>
      <c r="AA15" s="529">
        <f t="shared" si="8"/>
        <v>0</v>
      </c>
      <c r="AB15" s="631">
        <f t="shared" si="8"/>
        <v>0</v>
      </c>
      <c r="AC15" s="11"/>
      <c r="AD15" s="11"/>
      <c r="AE15" s="11"/>
    </row>
    <row r="16" spans="1:31" ht="12" customHeight="1">
      <c r="A16" s="269"/>
      <c r="B16" s="271"/>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11"/>
      <c r="AD16" s="11"/>
      <c r="AE16" s="28"/>
    </row>
    <row r="17" spans="1:31" ht="12" customHeight="1">
      <c r="A17" s="617" t="s">
        <v>244</v>
      </c>
      <c r="B17" s="534"/>
      <c r="C17" s="534"/>
      <c r="D17" s="534"/>
      <c r="E17" s="534"/>
      <c r="F17" s="534"/>
      <c r="G17" s="534"/>
      <c r="H17" s="534"/>
      <c r="I17" s="534"/>
      <c r="J17" s="534"/>
      <c r="K17" s="534"/>
      <c r="L17" s="534"/>
      <c r="M17" s="534"/>
      <c r="N17" s="534"/>
      <c r="O17" s="534"/>
      <c r="P17" s="534"/>
      <c r="Q17" s="534"/>
      <c r="R17" s="534"/>
      <c r="S17" s="534"/>
      <c r="T17" s="534"/>
      <c r="U17" s="534"/>
      <c r="V17" s="534"/>
      <c r="W17" s="534"/>
      <c r="X17" s="534"/>
      <c r="Y17" s="534"/>
      <c r="Z17" s="534"/>
      <c r="AA17" s="534"/>
      <c r="AB17" s="507"/>
      <c r="AE17" s="24"/>
    </row>
    <row r="18" spans="1:31" ht="12" customHeight="1">
      <c r="A18" s="632"/>
      <c r="B18" s="297" t="s">
        <v>0</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524"/>
      <c r="AE18" s="24"/>
    </row>
    <row r="19" spans="1:31" ht="12" customHeight="1">
      <c r="A19" s="517" t="s">
        <v>251</v>
      </c>
      <c r="B19" s="621">
        <f>B7</f>
        <v>15</v>
      </c>
      <c r="C19" s="633"/>
      <c r="D19" s="622">
        <f t="shared" ref="D19:AB19" si="9">IF(D4&gt;$B$19+1,0,IF($B$19=15,VLOOKUP(D4,$A$57:$B$72,2),VLOOKUP(D4,$A$77:$B$97,2)))</f>
        <v>0.05</v>
      </c>
      <c r="E19" s="622">
        <f t="shared" si="9"/>
        <v>9.5000000000000001E-2</v>
      </c>
      <c r="F19" s="622">
        <f t="shared" si="9"/>
        <v>8.5500000000000007E-2</v>
      </c>
      <c r="G19" s="622">
        <f t="shared" si="9"/>
        <v>7.6999999999999999E-2</v>
      </c>
      <c r="H19" s="622">
        <f t="shared" si="9"/>
        <v>6.93E-2</v>
      </c>
      <c r="I19" s="622">
        <f t="shared" si="9"/>
        <v>6.2300000000000001E-2</v>
      </c>
      <c r="J19" s="622">
        <f t="shared" si="9"/>
        <v>5.8999999999999997E-2</v>
      </c>
      <c r="K19" s="622">
        <f t="shared" si="9"/>
        <v>5.91E-2</v>
      </c>
      <c r="L19" s="622">
        <f t="shared" si="9"/>
        <v>5.8999999999999997E-2</v>
      </c>
      <c r="M19" s="622">
        <f t="shared" si="9"/>
        <v>5.91E-2</v>
      </c>
      <c r="N19" s="622">
        <f t="shared" si="9"/>
        <v>5.8999999999999997E-2</v>
      </c>
      <c r="O19" s="622">
        <f t="shared" si="9"/>
        <v>5.91E-2</v>
      </c>
      <c r="P19" s="622">
        <f t="shared" si="9"/>
        <v>5.8999999999999997E-2</v>
      </c>
      <c r="Q19" s="622">
        <f t="shared" si="9"/>
        <v>5.91E-2</v>
      </c>
      <c r="R19" s="622">
        <f t="shared" si="9"/>
        <v>5.8999999999999997E-2</v>
      </c>
      <c r="S19" s="622">
        <f t="shared" si="9"/>
        <v>2.9499999999999998E-2</v>
      </c>
      <c r="T19" s="622">
        <f t="shared" si="9"/>
        <v>0</v>
      </c>
      <c r="U19" s="622">
        <f t="shared" si="9"/>
        <v>0</v>
      </c>
      <c r="V19" s="622">
        <f t="shared" si="9"/>
        <v>0</v>
      </c>
      <c r="W19" s="622">
        <f t="shared" si="9"/>
        <v>0</v>
      </c>
      <c r="X19" s="622">
        <f t="shared" si="9"/>
        <v>0</v>
      </c>
      <c r="Y19" s="622">
        <f t="shared" si="9"/>
        <v>0</v>
      </c>
      <c r="Z19" s="622">
        <f t="shared" si="9"/>
        <v>0</v>
      </c>
      <c r="AA19" s="622">
        <f t="shared" si="9"/>
        <v>0</v>
      </c>
      <c r="AB19" s="623">
        <f t="shared" si="9"/>
        <v>0</v>
      </c>
      <c r="AC19" s="25"/>
      <c r="AD19" s="25"/>
      <c r="AE19" s="26"/>
    </row>
    <row r="20" spans="1:31" ht="12" customHeight="1">
      <c r="A20" s="517" t="s">
        <v>245</v>
      </c>
      <c r="B20" s="621">
        <v>5</v>
      </c>
      <c r="C20" s="253"/>
      <c r="D20" s="622">
        <f>IF(D16&gt;$B$20,0,1/$B$20)*'Book Income Statement'!D$6/12</f>
        <v>0.11666666666666668</v>
      </c>
      <c r="E20" s="622">
        <f>IF(E$4&lt;=$B20,(1/$B20),IF(E$4=$B20+1,(1/$B20)-$D20,0))</f>
        <v>0.2</v>
      </c>
      <c r="F20" s="622">
        <f t="shared" ref="F20:AB20" si="10">IF(F$4&lt;=$B20,(1/$B20),IF(F$4=$B20+1,(1/$B20)-$D20,0))</f>
        <v>0.2</v>
      </c>
      <c r="G20" s="622">
        <f t="shared" si="10"/>
        <v>0.2</v>
      </c>
      <c r="H20" s="622">
        <f t="shared" si="10"/>
        <v>0.2</v>
      </c>
      <c r="I20" s="622">
        <f t="shared" si="10"/>
        <v>8.3333333333333329E-2</v>
      </c>
      <c r="J20" s="622">
        <f t="shared" si="10"/>
        <v>0</v>
      </c>
      <c r="K20" s="622">
        <f t="shared" si="10"/>
        <v>0</v>
      </c>
      <c r="L20" s="622">
        <f t="shared" si="10"/>
        <v>0</v>
      </c>
      <c r="M20" s="622">
        <f t="shared" si="10"/>
        <v>0</v>
      </c>
      <c r="N20" s="622">
        <f t="shared" si="10"/>
        <v>0</v>
      </c>
      <c r="O20" s="622">
        <f t="shared" si="10"/>
        <v>0</v>
      </c>
      <c r="P20" s="622">
        <f t="shared" si="10"/>
        <v>0</v>
      </c>
      <c r="Q20" s="622">
        <f t="shared" si="10"/>
        <v>0</v>
      </c>
      <c r="R20" s="622">
        <f t="shared" si="10"/>
        <v>0</v>
      </c>
      <c r="S20" s="622">
        <f t="shared" si="10"/>
        <v>0</v>
      </c>
      <c r="T20" s="622">
        <f t="shared" si="10"/>
        <v>0</v>
      </c>
      <c r="U20" s="622">
        <f t="shared" si="10"/>
        <v>0</v>
      </c>
      <c r="V20" s="622">
        <f t="shared" si="10"/>
        <v>0</v>
      </c>
      <c r="W20" s="622">
        <f t="shared" si="10"/>
        <v>0</v>
      </c>
      <c r="X20" s="622">
        <f t="shared" si="10"/>
        <v>0</v>
      </c>
      <c r="Y20" s="622">
        <f t="shared" si="10"/>
        <v>0</v>
      </c>
      <c r="Z20" s="622">
        <f t="shared" si="10"/>
        <v>0</v>
      </c>
      <c r="AA20" s="622">
        <f t="shared" si="10"/>
        <v>0</v>
      </c>
      <c r="AB20" s="623">
        <f t="shared" si="10"/>
        <v>0</v>
      </c>
      <c r="AC20" s="25"/>
      <c r="AD20" s="25"/>
      <c r="AE20" s="26"/>
    </row>
    <row r="21" spans="1:31" ht="12" customHeight="1">
      <c r="A21" s="517" t="s">
        <v>94</v>
      </c>
      <c r="B21" s="624">
        <f>MAX('Project Assumptions'!$F$39, 'Project Assumptions'!$G$39,'Project Assumptions'!$H$39)</f>
        <v>20</v>
      </c>
      <c r="C21" s="253"/>
      <c r="D21" s="622">
        <f>IF(D16&gt;$B$21,0,(1/$B$21))*'Book Income Statement'!D$6/12</f>
        <v>2.9166666666666671E-2</v>
      </c>
      <c r="E21" s="622">
        <f>IF(E$4&lt;=$B$21,(1/$B$21),IF(E$4=$B$21+1,(1/$B$21)-$D$21,0))</f>
        <v>0.05</v>
      </c>
      <c r="F21" s="622">
        <f t="shared" ref="F21:AB21" si="11">IF(F$4&lt;=$B$21,(1/$B$21),IF(F$4=$B$21+1,(1/$B$21)-$D$21,0))</f>
        <v>0.05</v>
      </c>
      <c r="G21" s="622">
        <f t="shared" si="11"/>
        <v>0.05</v>
      </c>
      <c r="H21" s="622">
        <f t="shared" si="11"/>
        <v>0.05</v>
      </c>
      <c r="I21" s="622">
        <f t="shared" si="11"/>
        <v>0.05</v>
      </c>
      <c r="J21" s="622">
        <f t="shared" si="11"/>
        <v>0.05</v>
      </c>
      <c r="K21" s="622">
        <f t="shared" si="11"/>
        <v>0.05</v>
      </c>
      <c r="L21" s="622">
        <f t="shared" si="11"/>
        <v>0.05</v>
      </c>
      <c r="M21" s="622">
        <f t="shared" si="11"/>
        <v>0.05</v>
      </c>
      <c r="N21" s="622">
        <f t="shared" si="11"/>
        <v>0.05</v>
      </c>
      <c r="O21" s="622">
        <f t="shared" si="11"/>
        <v>0.05</v>
      </c>
      <c r="P21" s="622">
        <f t="shared" si="11"/>
        <v>0.05</v>
      </c>
      <c r="Q21" s="622">
        <f t="shared" si="11"/>
        <v>0.05</v>
      </c>
      <c r="R21" s="622">
        <f t="shared" si="11"/>
        <v>0.05</v>
      </c>
      <c r="S21" s="622">
        <f t="shared" si="11"/>
        <v>0.05</v>
      </c>
      <c r="T21" s="622">
        <f t="shared" si="11"/>
        <v>0.05</v>
      </c>
      <c r="U21" s="622">
        <f t="shared" si="11"/>
        <v>0.05</v>
      </c>
      <c r="V21" s="622">
        <f t="shared" si="11"/>
        <v>0.05</v>
      </c>
      <c r="W21" s="622">
        <f t="shared" si="11"/>
        <v>0.05</v>
      </c>
      <c r="X21" s="622">
        <f t="shared" si="11"/>
        <v>2.0833333333333332E-2</v>
      </c>
      <c r="Y21" s="622">
        <f t="shared" si="11"/>
        <v>0</v>
      </c>
      <c r="Z21" s="622">
        <f t="shared" si="11"/>
        <v>0</v>
      </c>
      <c r="AA21" s="622">
        <f t="shared" si="11"/>
        <v>0</v>
      </c>
      <c r="AB21" s="623">
        <f t="shared" si="11"/>
        <v>0</v>
      </c>
      <c r="AC21" s="25"/>
      <c r="AD21" s="25"/>
      <c r="AE21" s="26"/>
    </row>
    <row r="22" spans="1:31" ht="12" customHeight="1">
      <c r="A22" s="517"/>
      <c r="B22" s="621"/>
      <c r="C22" s="253"/>
      <c r="D22" s="634"/>
      <c r="E22" s="634"/>
      <c r="F22" s="634"/>
      <c r="G22" s="634"/>
      <c r="H22" s="634"/>
      <c r="I22" s="634"/>
      <c r="J22" s="634"/>
      <c r="K22" s="634"/>
      <c r="L22" s="634"/>
      <c r="M22" s="634"/>
      <c r="N22" s="634"/>
      <c r="O22" s="634"/>
      <c r="P22" s="634"/>
      <c r="Q22" s="634"/>
      <c r="R22" s="634"/>
      <c r="S22" s="634"/>
      <c r="T22" s="634"/>
      <c r="U22" s="634"/>
      <c r="V22" s="634"/>
      <c r="W22" s="634"/>
      <c r="X22" s="634"/>
      <c r="Y22" s="634"/>
      <c r="Z22" s="634"/>
      <c r="AA22" s="634"/>
      <c r="AB22" s="635"/>
      <c r="AC22" s="25"/>
      <c r="AD22" s="25"/>
      <c r="AE22" s="26"/>
    </row>
    <row r="23" spans="1:31" ht="12" customHeight="1">
      <c r="A23" s="511"/>
      <c r="B23" s="297"/>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524"/>
    </row>
    <row r="24" spans="1:31" s="17" customFormat="1" ht="12" customHeight="1">
      <c r="A24" s="517" t="s">
        <v>252</v>
      </c>
      <c r="B24" s="591">
        <f>B11</f>
        <v>171937.36099999998</v>
      </c>
      <c r="C24" s="296"/>
      <c r="D24" s="591">
        <f>$B$24*D19</f>
        <v>8596.8680499999991</v>
      </c>
      <c r="E24" s="591">
        <f t="shared" ref="E24:AB24" si="12">$B$24*E19</f>
        <v>16334.049294999997</v>
      </c>
      <c r="F24" s="591">
        <f t="shared" si="12"/>
        <v>14700.644365499998</v>
      </c>
      <c r="G24" s="591">
        <f t="shared" si="12"/>
        <v>13239.176796999998</v>
      </c>
      <c r="H24" s="591">
        <f t="shared" si="12"/>
        <v>11915.259117299998</v>
      </c>
      <c r="I24" s="591">
        <f t="shared" si="12"/>
        <v>10711.697590299998</v>
      </c>
      <c r="J24" s="591">
        <f t="shared" si="12"/>
        <v>10144.304298999998</v>
      </c>
      <c r="K24" s="591">
        <f t="shared" si="12"/>
        <v>10161.498035099998</v>
      </c>
      <c r="L24" s="591">
        <f t="shared" si="12"/>
        <v>10144.304298999998</v>
      </c>
      <c r="M24" s="591">
        <f t="shared" si="12"/>
        <v>10161.498035099998</v>
      </c>
      <c r="N24" s="591">
        <f t="shared" si="12"/>
        <v>10144.304298999998</v>
      </c>
      <c r="O24" s="591">
        <f t="shared" si="12"/>
        <v>10161.498035099998</v>
      </c>
      <c r="P24" s="591">
        <f t="shared" si="12"/>
        <v>10144.304298999998</v>
      </c>
      <c r="Q24" s="591">
        <f t="shared" si="12"/>
        <v>10161.498035099998</v>
      </c>
      <c r="R24" s="591">
        <f t="shared" si="12"/>
        <v>10144.304298999998</v>
      </c>
      <c r="S24" s="591">
        <f t="shared" si="12"/>
        <v>5072.1521494999988</v>
      </c>
      <c r="T24" s="591">
        <f t="shared" si="12"/>
        <v>0</v>
      </c>
      <c r="U24" s="591">
        <f t="shared" si="12"/>
        <v>0</v>
      </c>
      <c r="V24" s="591">
        <f t="shared" si="12"/>
        <v>0</v>
      </c>
      <c r="W24" s="591">
        <f t="shared" si="12"/>
        <v>0</v>
      </c>
      <c r="X24" s="591">
        <f t="shared" si="12"/>
        <v>0</v>
      </c>
      <c r="Y24" s="591">
        <f t="shared" si="12"/>
        <v>0</v>
      </c>
      <c r="Z24" s="591">
        <f t="shared" si="12"/>
        <v>0</v>
      </c>
      <c r="AA24" s="591">
        <f t="shared" si="12"/>
        <v>0</v>
      </c>
      <c r="AB24" s="626">
        <f t="shared" si="12"/>
        <v>0</v>
      </c>
      <c r="AC24" s="18"/>
      <c r="AD24" s="18"/>
      <c r="AE24" s="18"/>
    </row>
    <row r="25" spans="1:31" ht="12" customHeight="1">
      <c r="A25" s="517" t="s">
        <v>246</v>
      </c>
      <c r="B25" s="285">
        <f>B12</f>
        <v>2040.5889999999999</v>
      </c>
      <c r="C25" s="253"/>
      <c r="D25" s="285">
        <f t="shared" ref="D25:AB26" si="13">$B25*D20</f>
        <v>238.06871666666669</v>
      </c>
      <c r="E25" s="285">
        <f t="shared" si="13"/>
        <v>408.11779999999999</v>
      </c>
      <c r="F25" s="285">
        <f t="shared" si="13"/>
        <v>408.11779999999999</v>
      </c>
      <c r="G25" s="285">
        <f t="shared" si="13"/>
        <v>408.11779999999999</v>
      </c>
      <c r="H25" s="285">
        <f t="shared" si="13"/>
        <v>408.11779999999999</v>
      </c>
      <c r="I25" s="285">
        <f t="shared" si="13"/>
        <v>170.04908333333333</v>
      </c>
      <c r="J25" s="285">
        <f t="shared" si="13"/>
        <v>0</v>
      </c>
      <c r="K25" s="285">
        <f t="shared" si="13"/>
        <v>0</v>
      </c>
      <c r="L25" s="285">
        <f t="shared" si="13"/>
        <v>0</v>
      </c>
      <c r="M25" s="285">
        <f t="shared" si="13"/>
        <v>0</v>
      </c>
      <c r="N25" s="285">
        <f t="shared" si="13"/>
        <v>0</v>
      </c>
      <c r="O25" s="285">
        <f t="shared" si="13"/>
        <v>0</v>
      </c>
      <c r="P25" s="285">
        <f t="shared" si="13"/>
        <v>0</v>
      </c>
      <c r="Q25" s="285">
        <f t="shared" si="13"/>
        <v>0</v>
      </c>
      <c r="R25" s="285">
        <f t="shared" si="13"/>
        <v>0</v>
      </c>
      <c r="S25" s="285">
        <f t="shared" si="13"/>
        <v>0</v>
      </c>
      <c r="T25" s="285">
        <f t="shared" si="13"/>
        <v>0</v>
      </c>
      <c r="U25" s="285">
        <f t="shared" si="13"/>
        <v>0</v>
      </c>
      <c r="V25" s="285">
        <f t="shared" si="13"/>
        <v>0</v>
      </c>
      <c r="W25" s="285">
        <f t="shared" si="13"/>
        <v>0</v>
      </c>
      <c r="X25" s="285">
        <f t="shared" si="13"/>
        <v>0</v>
      </c>
      <c r="Y25" s="285">
        <f t="shared" si="13"/>
        <v>0</v>
      </c>
      <c r="Z25" s="285">
        <f t="shared" si="13"/>
        <v>0</v>
      </c>
      <c r="AA25" s="285">
        <f t="shared" si="13"/>
        <v>0</v>
      </c>
      <c r="AB25" s="519">
        <f t="shared" si="13"/>
        <v>0</v>
      </c>
      <c r="AC25" s="11"/>
      <c r="AD25" s="11"/>
      <c r="AE25" s="28"/>
    </row>
    <row r="26" spans="1:31" ht="12" customHeight="1">
      <c r="A26" s="517" t="s">
        <v>247</v>
      </c>
      <c r="B26" s="285">
        <f>B13</f>
        <v>0</v>
      </c>
      <c r="C26" s="253"/>
      <c r="D26" s="285">
        <f t="shared" si="13"/>
        <v>0</v>
      </c>
      <c r="E26" s="285">
        <f t="shared" si="13"/>
        <v>0</v>
      </c>
      <c r="F26" s="285">
        <f t="shared" ref="F26:AB26" si="14">$B26*F21</f>
        <v>0</v>
      </c>
      <c r="G26" s="285">
        <f t="shared" si="14"/>
        <v>0</v>
      </c>
      <c r="H26" s="285">
        <f t="shared" si="14"/>
        <v>0</v>
      </c>
      <c r="I26" s="285">
        <f t="shared" si="14"/>
        <v>0</v>
      </c>
      <c r="J26" s="285">
        <f t="shared" si="14"/>
        <v>0</v>
      </c>
      <c r="K26" s="285">
        <f t="shared" si="14"/>
        <v>0</v>
      </c>
      <c r="L26" s="285">
        <f t="shared" si="14"/>
        <v>0</v>
      </c>
      <c r="M26" s="285">
        <f t="shared" si="14"/>
        <v>0</v>
      </c>
      <c r="N26" s="285">
        <f t="shared" si="14"/>
        <v>0</v>
      </c>
      <c r="O26" s="285">
        <f t="shared" si="14"/>
        <v>0</v>
      </c>
      <c r="P26" s="285">
        <f t="shared" si="14"/>
        <v>0</v>
      </c>
      <c r="Q26" s="285">
        <f t="shared" si="14"/>
        <v>0</v>
      </c>
      <c r="R26" s="285">
        <f t="shared" si="14"/>
        <v>0</v>
      </c>
      <c r="S26" s="285">
        <f t="shared" si="14"/>
        <v>0</v>
      </c>
      <c r="T26" s="285">
        <f t="shared" si="14"/>
        <v>0</v>
      </c>
      <c r="U26" s="285">
        <f t="shared" si="14"/>
        <v>0</v>
      </c>
      <c r="V26" s="285">
        <f t="shared" si="14"/>
        <v>0</v>
      </c>
      <c r="W26" s="285">
        <f t="shared" si="14"/>
        <v>0</v>
      </c>
      <c r="X26" s="285">
        <f t="shared" si="14"/>
        <v>0</v>
      </c>
      <c r="Y26" s="285">
        <f t="shared" si="14"/>
        <v>0</v>
      </c>
      <c r="Z26" s="285">
        <f t="shared" si="14"/>
        <v>0</v>
      </c>
      <c r="AA26" s="285">
        <f t="shared" si="14"/>
        <v>0</v>
      </c>
      <c r="AB26" s="519">
        <f t="shared" si="14"/>
        <v>0</v>
      </c>
      <c r="AC26" s="11"/>
      <c r="AD26" s="11"/>
      <c r="AE26" s="28"/>
    </row>
    <row r="27" spans="1:31" ht="12" customHeight="1">
      <c r="A27" s="517" t="s">
        <v>440</v>
      </c>
      <c r="B27" s="300">
        <f>B14</f>
        <v>0</v>
      </c>
      <c r="C27" s="253"/>
      <c r="D27" s="300">
        <f>B27</f>
        <v>0</v>
      </c>
      <c r="E27" s="627">
        <v>0</v>
      </c>
      <c r="F27" s="627">
        <v>0</v>
      </c>
      <c r="G27" s="627">
        <v>0</v>
      </c>
      <c r="H27" s="627">
        <v>0</v>
      </c>
      <c r="I27" s="627">
        <v>0</v>
      </c>
      <c r="J27" s="627">
        <v>0</v>
      </c>
      <c r="K27" s="627">
        <v>0</v>
      </c>
      <c r="L27" s="627">
        <v>0</v>
      </c>
      <c r="M27" s="627">
        <v>0</v>
      </c>
      <c r="N27" s="627">
        <v>0</v>
      </c>
      <c r="O27" s="627">
        <v>0</v>
      </c>
      <c r="P27" s="627">
        <v>0</v>
      </c>
      <c r="Q27" s="627">
        <v>0</v>
      </c>
      <c r="R27" s="627">
        <v>0</v>
      </c>
      <c r="S27" s="627">
        <v>0</v>
      </c>
      <c r="T27" s="627">
        <v>0</v>
      </c>
      <c r="U27" s="627">
        <v>0</v>
      </c>
      <c r="V27" s="627">
        <v>0</v>
      </c>
      <c r="W27" s="627">
        <v>0</v>
      </c>
      <c r="X27" s="627">
        <v>0</v>
      </c>
      <c r="Y27" s="627">
        <v>0</v>
      </c>
      <c r="Z27" s="627">
        <v>0</v>
      </c>
      <c r="AA27" s="627">
        <v>0</v>
      </c>
      <c r="AB27" s="628">
        <v>0</v>
      </c>
      <c r="AC27" s="11"/>
      <c r="AD27" s="11"/>
      <c r="AE27" s="28"/>
    </row>
    <row r="28" spans="1:31" ht="12" customHeight="1">
      <c r="A28" s="629" t="s">
        <v>248</v>
      </c>
      <c r="B28" s="529">
        <f>SUM(B24:B27)</f>
        <v>173977.94999999998</v>
      </c>
      <c r="C28" s="545"/>
      <c r="D28" s="529">
        <f>SUM(D24:D27)</f>
        <v>8834.9367666666658</v>
      </c>
      <c r="E28" s="529">
        <f>SUM(E24:E27)</f>
        <v>16742.167094999997</v>
      </c>
      <c r="F28" s="529">
        <f t="shared" ref="F28:AB28" si="15">SUM(F24:F27)</f>
        <v>15108.762165499998</v>
      </c>
      <c r="G28" s="529">
        <f t="shared" si="15"/>
        <v>13647.294596999998</v>
      </c>
      <c r="H28" s="529">
        <f t="shared" si="15"/>
        <v>12323.376917299998</v>
      </c>
      <c r="I28" s="529">
        <f t="shared" si="15"/>
        <v>10881.746673633332</v>
      </c>
      <c r="J28" s="529">
        <f t="shared" si="15"/>
        <v>10144.304298999998</v>
      </c>
      <c r="K28" s="529">
        <f t="shared" si="15"/>
        <v>10161.498035099998</v>
      </c>
      <c r="L28" s="529">
        <f t="shared" si="15"/>
        <v>10144.304298999998</v>
      </c>
      <c r="M28" s="529">
        <f t="shared" si="15"/>
        <v>10161.498035099998</v>
      </c>
      <c r="N28" s="529">
        <f t="shared" si="15"/>
        <v>10144.304298999998</v>
      </c>
      <c r="O28" s="529">
        <f t="shared" si="15"/>
        <v>10161.498035099998</v>
      </c>
      <c r="P28" s="529">
        <f t="shared" si="15"/>
        <v>10144.304298999998</v>
      </c>
      <c r="Q28" s="529">
        <f t="shared" si="15"/>
        <v>10161.498035099998</v>
      </c>
      <c r="R28" s="529">
        <f t="shared" si="15"/>
        <v>10144.304298999998</v>
      </c>
      <c r="S28" s="529">
        <f t="shared" si="15"/>
        <v>5072.1521494999988</v>
      </c>
      <c r="T28" s="529">
        <f t="shared" si="15"/>
        <v>0</v>
      </c>
      <c r="U28" s="529">
        <f t="shared" si="15"/>
        <v>0</v>
      </c>
      <c r="V28" s="529">
        <f t="shared" si="15"/>
        <v>0</v>
      </c>
      <c r="W28" s="529">
        <f t="shared" si="15"/>
        <v>0</v>
      </c>
      <c r="X28" s="529">
        <f t="shared" si="15"/>
        <v>0</v>
      </c>
      <c r="Y28" s="529">
        <f t="shared" si="15"/>
        <v>0</v>
      </c>
      <c r="Z28" s="529">
        <f t="shared" si="15"/>
        <v>0</v>
      </c>
      <c r="AA28" s="529">
        <f t="shared" si="15"/>
        <v>0</v>
      </c>
      <c r="AB28" s="631">
        <f t="shared" si="15"/>
        <v>0</v>
      </c>
      <c r="AC28" s="11"/>
      <c r="AD28" s="11"/>
      <c r="AE28" s="28"/>
    </row>
    <row r="29" spans="1:31" ht="12" customHeight="1"/>
    <row r="30" spans="1:31" ht="12" customHeight="1">
      <c r="A30" s="617" t="s">
        <v>256</v>
      </c>
      <c r="B30" s="534"/>
      <c r="C30" s="534"/>
      <c r="D30" s="534"/>
      <c r="E30" s="534"/>
      <c r="F30" s="534"/>
      <c r="G30" s="534"/>
      <c r="H30" s="534"/>
      <c r="I30" s="534"/>
      <c r="J30" s="534"/>
      <c r="K30" s="534"/>
      <c r="L30" s="534"/>
      <c r="M30" s="534"/>
      <c r="N30" s="534"/>
      <c r="O30" s="534"/>
      <c r="P30" s="534"/>
      <c r="Q30" s="534"/>
      <c r="R30" s="534"/>
      <c r="S30" s="534"/>
      <c r="T30" s="534"/>
      <c r="U30" s="534"/>
      <c r="V30" s="534"/>
      <c r="W30" s="534"/>
      <c r="X30" s="534"/>
      <c r="Y30" s="534"/>
      <c r="Z30" s="534"/>
      <c r="AA30" s="534"/>
      <c r="AB30" s="507"/>
      <c r="AE30" s="24"/>
    </row>
    <row r="31" spans="1:31" ht="12" customHeight="1">
      <c r="A31" s="632"/>
      <c r="B31" s="297" t="s">
        <v>0</v>
      </c>
      <c r="C31" s="636" t="s">
        <v>34</v>
      </c>
      <c r="D31" s="253">
        <v>1</v>
      </c>
      <c r="E31" s="253">
        <f>D31+1</f>
        <v>2</v>
      </c>
      <c r="F31" s="253">
        <f t="shared" ref="F31:AB31" si="16">E31+1</f>
        <v>3</v>
      </c>
      <c r="G31" s="253">
        <f t="shared" si="16"/>
        <v>4</v>
      </c>
      <c r="H31" s="253">
        <f t="shared" si="16"/>
        <v>5</v>
      </c>
      <c r="I31" s="253">
        <f t="shared" si="16"/>
        <v>6</v>
      </c>
      <c r="J31" s="253">
        <f t="shared" si="16"/>
        <v>7</v>
      </c>
      <c r="K31" s="253">
        <f t="shared" si="16"/>
        <v>8</v>
      </c>
      <c r="L31" s="253">
        <f t="shared" si="16"/>
        <v>9</v>
      </c>
      <c r="M31" s="253">
        <f t="shared" si="16"/>
        <v>10</v>
      </c>
      <c r="N31" s="253">
        <f t="shared" si="16"/>
        <v>11</v>
      </c>
      <c r="O31" s="253">
        <f t="shared" si="16"/>
        <v>12</v>
      </c>
      <c r="P31" s="253">
        <f t="shared" si="16"/>
        <v>13</v>
      </c>
      <c r="Q31" s="253">
        <f t="shared" si="16"/>
        <v>14</v>
      </c>
      <c r="R31" s="253">
        <f t="shared" si="16"/>
        <v>15</v>
      </c>
      <c r="S31" s="253">
        <f t="shared" si="16"/>
        <v>16</v>
      </c>
      <c r="T31" s="253">
        <f t="shared" si="16"/>
        <v>17</v>
      </c>
      <c r="U31" s="253">
        <f t="shared" si="16"/>
        <v>18</v>
      </c>
      <c r="V31" s="253">
        <f t="shared" si="16"/>
        <v>19</v>
      </c>
      <c r="W31" s="253">
        <f t="shared" si="16"/>
        <v>20</v>
      </c>
      <c r="X31" s="253">
        <f t="shared" si="16"/>
        <v>21</v>
      </c>
      <c r="Y31" s="253">
        <f t="shared" si="16"/>
        <v>22</v>
      </c>
      <c r="Z31" s="253">
        <f t="shared" si="16"/>
        <v>23</v>
      </c>
      <c r="AA31" s="253">
        <f t="shared" si="16"/>
        <v>24</v>
      </c>
      <c r="AB31" s="524">
        <f t="shared" si="16"/>
        <v>25</v>
      </c>
      <c r="AE31" s="24"/>
    </row>
    <row r="32" spans="1:31" ht="12" customHeight="1">
      <c r="A32" s="517" t="s">
        <v>253</v>
      </c>
      <c r="B32" s="621">
        <v>30</v>
      </c>
      <c r="C32" s="637">
        <f>'Project Assumptions'!U18</f>
        <v>0.1</v>
      </c>
      <c r="D32" s="622">
        <f>((1-$C$32)/$B$32)*'Book Income Statement'!D$6/12</f>
        <v>1.7500000000000002E-2</v>
      </c>
      <c r="E32" s="622">
        <f>IF(E31&lt;=$B$32,(1-$C$32)/$B$32,IF(E31=$B$32+1,(1/$B32)-$D$32,0))</f>
        <v>3.0000000000000002E-2</v>
      </c>
      <c r="F32" s="622">
        <f t="shared" ref="F32:AB32" si="17">IF(F31&lt;=$B$32,(1-$C$32)/$B$32,IF(F31=$B$32+1,(1/$B32)-$D$32,0))</f>
        <v>3.0000000000000002E-2</v>
      </c>
      <c r="G32" s="622">
        <f t="shared" si="17"/>
        <v>3.0000000000000002E-2</v>
      </c>
      <c r="H32" s="622">
        <f t="shared" si="17"/>
        <v>3.0000000000000002E-2</v>
      </c>
      <c r="I32" s="622">
        <f t="shared" si="17"/>
        <v>3.0000000000000002E-2</v>
      </c>
      <c r="J32" s="622">
        <f t="shared" si="17"/>
        <v>3.0000000000000002E-2</v>
      </c>
      <c r="K32" s="622">
        <f t="shared" si="17"/>
        <v>3.0000000000000002E-2</v>
      </c>
      <c r="L32" s="622">
        <f t="shared" si="17"/>
        <v>3.0000000000000002E-2</v>
      </c>
      <c r="M32" s="622">
        <f t="shared" si="17"/>
        <v>3.0000000000000002E-2</v>
      </c>
      <c r="N32" s="622">
        <f t="shared" si="17"/>
        <v>3.0000000000000002E-2</v>
      </c>
      <c r="O32" s="622">
        <f t="shared" si="17"/>
        <v>3.0000000000000002E-2</v>
      </c>
      <c r="P32" s="622">
        <f t="shared" si="17"/>
        <v>3.0000000000000002E-2</v>
      </c>
      <c r="Q32" s="622">
        <f t="shared" si="17"/>
        <v>3.0000000000000002E-2</v>
      </c>
      <c r="R32" s="622">
        <f t="shared" si="17"/>
        <v>3.0000000000000002E-2</v>
      </c>
      <c r="S32" s="622">
        <f t="shared" si="17"/>
        <v>3.0000000000000002E-2</v>
      </c>
      <c r="T32" s="622">
        <f t="shared" si="17"/>
        <v>3.0000000000000002E-2</v>
      </c>
      <c r="U32" s="622">
        <f t="shared" si="17"/>
        <v>3.0000000000000002E-2</v>
      </c>
      <c r="V32" s="622">
        <f t="shared" si="17"/>
        <v>3.0000000000000002E-2</v>
      </c>
      <c r="W32" s="622">
        <f t="shared" si="17"/>
        <v>3.0000000000000002E-2</v>
      </c>
      <c r="X32" s="622">
        <f t="shared" si="17"/>
        <v>3.0000000000000002E-2</v>
      </c>
      <c r="Y32" s="622">
        <f t="shared" si="17"/>
        <v>3.0000000000000002E-2</v>
      </c>
      <c r="Z32" s="622">
        <f t="shared" si="17"/>
        <v>3.0000000000000002E-2</v>
      </c>
      <c r="AA32" s="622">
        <f t="shared" si="17"/>
        <v>3.0000000000000002E-2</v>
      </c>
      <c r="AB32" s="623">
        <f t="shared" si="17"/>
        <v>3.0000000000000002E-2</v>
      </c>
      <c r="AC32" s="53"/>
      <c r="AD32" s="25"/>
      <c r="AE32" s="26"/>
    </row>
    <row r="33" spans="1:31" ht="12" customHeight="1">
      <c r="A33" s="517" t="s">
        <v>245</v>
      </c>
      <c r="B33" s="621">
        <v>5</v>
      </c>
      <c r="C33" s="253"/>
      <c r="D33" s="622">
        <f>(1/$B33)*'Book Income Statement'!D$6/12</f>
        <v>0.11666666666666668</v>
      </c>
      <c r="E33" s="622">
        <f>IF(E31&lt;=$B$33,(1/$B33),IF(E31=$B$33+1,(1/$B33)-$D$33,0))</f>
        <v>0.2</v>
      </c>
      <c r="F33" s="622">
        <f t="shared" ref="F33:AB33" si="18">IF(F31&lt;=$B$33,(1/$B33),IF(F31=$B$33+1,(1/$B33)-$D$33,0))</f>
        <v>0.2</v>
      </c>
      <c r="G33" s="622">
        <f t="shared" si="18"/>
        <v>0.2</v>
      </c>
      <c r="H33" s="622">
        <f t="shared" si="18"/>
        <v>0.2</v>
      </c>
      <c r="I33" s="622">
        <f t="shared" si="18"/>
        <v>8.3333333333333329E-2</v>
      </c>
      <c r="J33" s="622">
        <f t="shared" si="18"/>
        <v>0</v>
      </c>
      <c r="K33" s="622">
        <f t="shared" si="18"/>
        <v>0</v>
      </c>
      <c r="L33" s="622">
        <f t="shared" si="18"/>
        <v>0</v>
      </c>
      <c r="M33" s="622">
        <f t="shared" si="18"/>
        <v>0</v>
      </c>
      <c r="N33" s="622">
        <f t="shared" si="18"/>
        <v>0</v>
      </c>
      <c r="O33" s="622">
        <f t="shared" si="18"/>
        <v>0</v>
      </c>
      <c r="P33" s="622">
        <f t="shared" si="18"/>
        <v>0</v>
      </c>
      <c r="Q33" s="622">
        <f t="shared" si="18"/>
        <v>0</v>
      </c>
      <c r="R33" s="622">
        <f t="shared" si="18"/>
        <v>0</v>
      </c>
      <c r="S33" s="622">
        <f t="shared" si="18"/>
        <v>0</v>
      </c>
      <c r="T33" s="622">
        <f t="shared" si="18"/>
        <v>0</v>
      </c>
      <c r="U33" s="622">
        <f t="shared" si="18"/>
        <v>0</v>
      </c>
      <c r="V33" s="622">
        <f t="shared" si="18"/>
        <v>0</v>
      </c>
      <c r="W33" s="622">
        <f t="shared" si="18"/>
        <v>0</v>
      </c>
      <c r="X33" s="622">
        <f t="shared" si="18"/>
        <v>0</v>
      </c>
      <c r="Y33" s="622">
        <f t="shared" si="18"/>
        <v>0</v>
      </c>
      <c r="Z33" s="622">
        <f t="shared" si="18"/>
        <v>0</v>
      </c>
      <c r="AA33" s="622">
        <f t="shared" si="18"/>
        <v>0</v>
      </c>
      <c r="AB33" s="623">
        <f t="shared" si="18"/>
        <v>0</v>
      </c>
      <c r="AD33" s="25"/>
      <c r="AE33" s="26"/>
    </row>
    <row r="34" spans="1:31" ht="12" customHeight="1">
      <c r="A34" s="517" t="s">
        <v>94</v>
      </c>
      <c r="B34" s="624">
        <f>+B9</f>
        <v>20</v>
      </c>
      <c r="C34" s="253"/>
      <c r="D34" s="622">
        <f>(1/$B34)*'Book Income Statement'!D$6/12</f>
        <v>2.9166666666666671E-2</v>
      </c>
      <c r="E34" s="622">
        <f>IF(E31&lt;=$B$34,(1/$B34),IF(E31=$B$34+1,(1/$B34)-$D$34,0))</f>
        <v>0.05</v>
      </c>
      <c r="F34" s="622">
        <f t="shared" ref="F34:AB34" si="19">IF(F31&lt;=$B$34,(1/$B34),IF(F31=$B$34+1,(1/$B34)-$D$34,0))</f>
        <v>0.05</v>
      </c>
      <c r="G34" s="622">
        <f t="shared" si="19"/>
        <v>0.05</v>
      </c>
      <c r="H34" s="622">
        <f t="shared" si="19"/>
        <v>0.05</v>
      </c>
      <c r="I34" s="622">
        <f t="shared" si="19"/>
        <v>0.05</v>
      </c>
      <c r="J34" s="622">
        <f t="shared" si="19"/>
        <v>0.05</v>
      </c>
      <c r="K34" s="622">
        <f t="shared" si="19"/>
        <v>0.05</v>
      </c>
      <c r="L34" s="622">
        <f t="shared" si="19"/>
        <v>0.05</v>
      </c>
      <c r="M34" s="622">
        <f t="shared" si="19"/>
        <v>0.05</v>
      </c>
      <c r="N34" s="622">
        <f t="shared" si="19"/>
        <v>0.05</v>
      </c>
      <c r="O34" s="622">
        <f t="shared" si="19"/>
        <v>0.05</v>
      </c>
      <c r="P34" s="622">
        <f t="shared" si="19"/>
        <v>0.05</v>
      </c>
      <c r="Q34" s="622">
        <f t="shared" si="19"/>
        <v>0.05</v>
      </c>
      <c r="R34" s="622">
        <f t="shared" si="19"/>
        <v>0.05</v>
      </c>
      <c r="S34" s="622">
        <f t="shared" si="19"/>
        <v>0.05</v>
      </c>
      <c r="T34" s="622">
        <f t="shared" si="19"/>
        <v>0.05</v>
      </c>
      <c r="U34" s="622">
        <f t="shared" si="19"/>
        <v>0.05</v>
      </c>
      <c r="V34" s="622">
        <f t="shared" si="19"/>
        <v>0.05</v>
      </c>
      <c r="W34" s="622">
        <f t="shared" si="19"/>
        <v>0.05</v>
      </c>
      <c r="X34" s="622">
        <f t="shared" si="19"/>
        <v>2.0833333333333332E-2</v>
      </c>
      <c r="Y34" s="622">
        <f t="shared" si="19"/>
        <v>0</v>
      </c>
      <c r="Z34" s="622">
        <f t="shared" si="19"/>
        <v>0</v>
      </c>
      <c r="AA34" s="622">
        <f t="shared" si="19"/>
        <v>0</v>
      </c>
      <c r="AB34" s="623">
        <f t="shared" si="19"/>
        <v>0</v>
      </c>
      <c r="AD34" s="25"/>
      <c r="AE34" s="26"/>
    </row>
    <row r="35" spans="1:31" ht="12" customHeight="1">
      <c r="A35" s="511"/>
      <c r="B35" s="297"/>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524"/>
    </row>
    <row r="36" spans="1:31" ht="12" customHeight="1">
      <c r="A36" s="517" t="s">
        <v>254</v>
      </c>
      <c r="B36" s="591">
        <f>B11</f>
        <v>171937.36099999998</v>
      </c>
      <c r="C36" s="253"/>
      <c r="D36" s="591">
        <f>D32*$B$36</f>
        <v>3008.9038175000001</v>
      </c>
      <c r="E36" s="591">
        <f t="shared" ref="E36:AB36" si="20">E32*$B$36</f>
        <v>5158.1208299999998</v>
      </c>
      <c r="F36" s="591">
        <f t="shared" si="20"/>
        <v>5158.1208299999998</v>
      </c>
      <c r="G36" s="591">
        <f t="shared" si="20"/>
        <v>5158.1208299999998</v>
      </c>
      <c r="H36" s="591">
        <f t="shared" si="20"/>
        <v>5158.1208299999998</v>
      </c>
      <c r="I36" s="591">
        <f t="shared" si="20"/>
        <v>5158.1208299999998</v>
      </c>
      <c r="J36" s="591">
        <f t="shared" si="20"/>
        <v>5158.1208299999998</v>
      </c>
      <c r="K36" s="591">
        <f t="shared" si="20"/>
        <v>5158.1208299999998</v>
      </c>
      <c r="L36" s="591">
        <f t="shared" si="20"/>
        <v>5158.1208299999998</v>
      </c>
      <c r="M36" s="591">
        <f t="shared" si="20"/>
        <v>5158.1208299999998</v>
      </c>
      <c r="N36" s="591">
        <f t="shared" si="20"/>
        <v>5158.1208299999998</v>
      </c>
      <c r="O36" s="591">
        <f t="shared" si="20"/>
        <v>5158.1208299999998</v>
      </c>
      <c r="P36" s="591">
        <f t="shared" si="20"/>
        <v>5158.1208299999998</v>
      </c>
      <c r="Q36" s="591">
        <f t="shared" si="20"/>
        <v>5158.1208299999998</v>
      </c>
      <c r="R36" s="591">
        <f t="shared" si="20"/>
        <v>5158.1208299999998</v>
      </c>
      <c r="S36" s="591">
        <f t="shared" si="20"/>
        <v>5158.1208299999998</v>
      </c>
      <c r="T36" s="591">
        <f t="shared" si="20"/>
        <v>5158.1208299999998</v>
      </c>
      <c r="U36" s="591">
        <f t="shared" si="20"/>
        <v>5158.1208299999998</v>
      </c>
      <c r="V36" s="591">
        <f t="shared" si="20"/>
        <v>5158.1208299999998</v>
      </c>
      <c r="W36" s="591">
        <f t="shared" si="20"/>
        <v>5158.1208299999998</v>
      </c>
      <c r="X36" s="591">
        <f t="shared" si="20"/>
        <v>5158.1208299999998</v>
      </c>
      <c r="Y36" s="591">
        <f t="shared" si="20"/>
        <v>5158.1208299999998</v>
      </c>
      <c r="Z36" s="591">
        <f t="shared" si="20"/>
        <v>5158.1208299999998</v>
      </c>
      <c r="AA36" s="591">
        <f t="shared" si="20"/>
        <v>5158.1208299999998</v>
      </c>
      <c r="AB36" s="626">
        <f t="shared" si="20"/>
        <v>5158.1208299999998</v>
      </c>
      <c r="AC36" s="11"/>
      <c r="AD36" s="11"/>
      <c r="AE36" s="11"/>
    </row>
    <row r="37" spans="1:31" ht="12" customHeight="1">
      <c r="A37" s="517" t="s">
        <v>246</v>
      </c>
      <c r="B37" s="591">
        <f>B12</f>
        <v>2040.5889999999999</v>
      </c>
      <c r="C37" s="253"/>
      <c r="D37" s="285">
        <f>D33*$B$37</f>
        <v>238.06871666666669</v>
      </c>
      <c r="E37" s="285">
        <f t="shared" ref="E37:AB37" si="21">E33*$B$37</f>
        <v>408.11779999999999</v>
      </c>
      <c r="F37" s="285">
        <f t="shared" si="21"/>
        <v>408.11779999999999</v>
      </c>
      <c r="G37" s="285">
        <f t="shared" si="21"/>
        <v>408.11779999999999</v>
      </c>
      <c r="H37" s="285">
        <f t="shared" si="21"/>
        <v>408.11779999999999</v>
      </c>
      <c r="I37" s="285">
        <f t="shared" si="21"/>
        <v>170.04908333333333</v>
      </c>
      <c r="J37" s="285">
        <f t="shared" si="21"/>
        <v>0</v>
      </c>
      <c r="K37" s="285">
        <f t="shared" si="21"/>
        <v>0</v>
      </c>
      <c r="L37" s="285">
        <f t="shared" si="21"/>
        <v>0</v>
      </c>
      <c r="M37" s="285">
        <f t="shared" si="21"/>
        <v>0</v>
      </c>
      <c r="N37" s="285">
        <f t="shared" si="21"/>
        <v>0</v>
      </c>
      <c r="O37" s="285">
        <f t="shared" si="21"/>
        <v>0</v>
      </c>
      <c r="P37" s="285">
        <f t="shared" si="21"/>
        <v>0</v>
      </c>
      <c r="Q37" s="285">
        <f t="shared" si="21"/>
        <v>0</v>
      </c>
      <c r="R37" s="285">
        <f t="shared" si="21"/>
        <v>0</v>
      </c>
      <c r="S37" s="285">
        <f t="shared" si="21"/>
        <v>0</v>
      </c>
      <c r="T37" s="285">
        <f t="shared" si="21"/>
        <v>0</v>
      </c>
      <c r="U37" s="285">
        <f t="shared" si="21"/>
        <v>0</v>
      </c>
      <c r="V37" s="285">
        <f t="shared" si="21"/>
        <v>0</v>
      </c>
      <c r="W37" s="285">
        <f t="shared" si="21"/>
        <v>0</v>
      </c>
      <c r="X37" s="285">
        <f t="shared" si="21"/>
        <v>0</v>
      </c>
      <c r="Y37" s="285">
        <f t="shared" si="21"/>
        <v>0</v>
      </c>
      <c r="Z37" s="285">
        <f t="shared" si="21"/>
        <v>0</v>
      </c>
      <c r="AA37" s="285">
        <f t="shared" si="21"/>
        <v>0</v>
      </c>
      <c r="AB37" s="519">
        <f t="shared" si="21"/>
        <v>0</v>
      </c>
      <c r="AC37" s="11"/>
      <c r="AD37" s="11"/>
      <c r="AE37" s="28"/>
    </row>
    <row r="38" spans="1:31" ht="12" customHeight="1">
      <c r="A38" s="517" t="s">
        <v>247</v>
      </c>
      <c r="B38" s="285">
        <f>B13</f>
        <v>0</v>
      </c>
      <c r="C38" s="253"/>
      <c r="D38" s="285">
        <f>D34*$B$38</f>
        <v>0</v>
      </c>
      <c r="E38" s="285">
        <f>E34*$B$38</f>
        <v>0</v>
      </c>
      <c r="F38" s="285">
        <f t="shared" ref="F38:AB38" si="22">F34*$B$38</f>
        <v>0</v>
      </c>
      <c r="G38" s="285">
        <f t="shared" si="22"/>
        <v>0</v>
      </c>
      <c r="H38" s="285">
        <f t="shared" si="22"/>
        <v>0</v>
      </c>
      <c r="I38" s="285">
        <f t="shared" si="22"/>
        <v>0</v>
      </c>
      <c r="J38" s="285">
        <f t="shared" si="22"/>
        <v>0</v>
      </c>
      <c r="K38" s="285">
        <f t="shared" si="22"/>
        <v>0</v>
      </c>
      <c r="L38" s="285">
        <f t="shared" si="22"/>
        <v>0</v>
      </c>
      <c r="M38" s="285">
        <f t="shared" si="22"/>
        <v>0</v>
      </c>
      <c r="N38" s="285">
        <f t="shared" si="22"/>
        <v>0</v>
      </c>
      <c r="O38" s="285">
        <f t="shared" si="22"/>
        <v>0</v>
      </c>
      <c r="P38" s="285">
        <f t="shared" si="22"/>
        <v>0</v>
      </c>
      <c r="Q38" s="285">
        <f t="shared" si="22"/>
        <v>0</v>
      </c>
      <c r="R38" s="285">
        <f t="shared" si="22"/>
        <v>0</v>
      </c>
      <c r="S38" s="285">
        <f t="shared" si="22"/>
        <v>0</v>
      </c>
      <c r="T38" s="285">
        <f t="shared" si="22"/>
        <v>0</v>
      </c>
      <c r="U38" s="285">
        <f t="shared" si="22"/>
        <v>0</v>
      </c>
      <c r="V38" s="285">
        <f t="shared" si="22"/>
        <v>0</v>
      </c>
      <c r="W38" s="285">
        <f t="shared" si="22"/>
        <v>0</v>
      </c>
      <c r="X38" s="285">
        <f t="shared" si="22"/>
        <v>0</v>
      </c>
      <c r="Y38" s="285">
        <f t="shared" si="22"/>
        <v>0</v>
      </c>
      <c r="Z38" s="285">
        <f t="shared" si="22"/>
        <v>0</v>
      </c>
      <c r="AA38" s="285">
        <f t="shared" si="22"/>
        <v>0</v>
      </c>
      <c r="AB38" s="519">
        <f t="shared" si="22"/>
        <v>0</v>
      </c>
      <c r="AC38" s="11"/>
      <c r="AD38" s="11"/>
      <c r="AE38" s="28"/>
    </row>
    <row r="39" spans="1:31" ht="12" customHeight="1">
      <c r="A39" s="517" t="s">
        <v>440</v>
      </c>
      <c r="B39" s="300">
        <f>B14</f>
        <v>0</v>
      </c>
      <c r="C39" s="253"/>
      <c r="D39" s="300">
        <f>B39</f>
        <v>0</v>
      </c>
      <c r="E39" s="627">
        <v>0</v>
      </c>
      <c r="F39" s="627">
        <v>0</v>
      </c>
      <c r="G39" s="627">
        <v>0</v>
      </c>
      <c r="H39" s="627">
        <v>0</v>
      </c>
      <c r="I39" s="627">
        <v>0</v>
      </c>
      <c r="J39" s="627">
        <v>0</v>
      </c>
      <c r="K39" s="627">
        <v>0</v>
      </c>
      <c r="L39" s="627">
        <v>0</v>
      </c>
      <c r="M39" s="627">
        <v>0</v>
      </c>
      <c r="N39" s="627">
        <v>0</v>
      </c>
      <c r="O39" s="627">
        <v>0</v>
      </c>
      <c r="P39" s="627">
        <v>0</v>
      </c>
      <c r="Q39" s="627">
        <v>0</v>
      </c>
      <c r="R39" s="627">
        <v>0</v>
      </c>
      <c r="S39" s="627">
        <v>0</v>
      </c>
      <c r="T39" s="627">
        <v>0</v>
      </c>
      <c r="U39" s="627">
        <v>0</v>
      </c>
      <c r="V39" s="627">
        <v>0</v>
      </c>
      <c r="W39" s="627">
        <v>0</v>
      </c>
      <c r="X39" s="627">
        <v>0</v>
      </c>
      <c r="Y39" s="627">
        <v>0</v>
      </c>
      <c r="Z39" s="627">
        <v>0</v>
      </c>
      <c r="AA39" s="627">
        <v>0</v>
      </c>
      <c r="AB39" s="628">
        <v>0</v>
      </c>
      <c r="AC39" s="11"/>
      <c r="AD39" s="11"/>
      <c r="AE39" s="28"/>
    </row>
    <row r="40" spans="1:31" ht="12" customHeight="1">
      <c r="A40" s="517" t="s">
        <v>249</v>
      </c>
      <c r="B40" s="591">
        <f>SUM(B36:B39)</f>
        <v>173977.94999999998</v>
      </c>
      <c r="C40" s="253"/>
      <c r="D40" s="591">
        <f>SUM(D36:D39)</f>
        <v>3246.9725341666667</v>
      </c>
      <c r="E40" s="591">
        <f>SUM(E36:E39)</f>
        <v>5566.2386299999998</v>
      </c>
      <c r="F40" s="591">
        <f t="shared" ref="F40:AB40" si="23">SUM(F36:F39)</f>
        <v>5566.2386299999998</v>
      </c>
      <c r="G40" s="591">
        <f t="shared" si="23"/>
        <v>5566.2386299999998</v>
      </c>
      <c r="H40" s="591">
        <f t="shared" si="23"/>
        <v>5566.2386299999998</v>
      </c>
      <c r="I40" s="591">
        <f t="shared" si="23"/>
        <v>5328.1699133333332</v>
      </c>
      <c r="J40" s="591">
        <f t="shared" si="23"/>
        <v>5158.1208299999998</v>
      </c>
      <c r="K40" s="591">
        <f t="shared" si="23"/>
        <v>5158.1208299999998</v>
      </c>
      <c r="L40" s="591">
        <f t="shared" si="23"/>
        <v>5158.1208299999998</v>
      </c>
      <c r="M40" s="591">
        <f t="shared" si="23"/>
        <v>5158.1208299999998</v>
      </c>
      <c r="N40" s="591">
        <f t="shared" si="23"/>
        <v>5158.1208299999998</v>
      </c>
      <c r="O40" s="591">
        <f t="shared" si="23"/>
        <v>5158.1208299999998</v>
      </c>
      <c r="P40" s="591">
        <f t="shared" si="23"/>
        <v>5158.1208299999998</v>
      </c>
      <c r="Q40" s="591">
        <f t="shared" si="23"/>
        <v>5158.1208299999998</v>
      </c>
      <c r="R40" s="591">
        <f t="shared" si="23"/>
        <v>5158.1208299999998</v>
      </c>
      <c r="S40" s="591">
        <f t="shared" si="23"/>
        <v>5158.1208299999998</v>
      </c>
      <c r="T40" s="591">
        <f t="shared" si="23"/>
        <v>5158.1208299999998</v>
      </c>
      <c r="U40" s="591">
        <f t="shared" si="23"/>
        <v>5158.1208299999998</v>
      </c>
      <c r="V40" s="591">
        <f t="shared" si="23"/>
        <v>5158.1208299999998</v>
      </c>
      <c r="W40" s="591">
        <f t="shared" si="23"/>
        <v>5158.1208299999998</v>
      </c>
      <c r="X40" s="591">
        <f t="shared" si="23"/>
        <v>5158.1208299999998</v>
      </c>
      <c r="Y40" s="591">
        <f t="shared" si="23"/>
        <v>5158.1208299999998</v>
      </c>
      <c r="Z40" s="591">
        <f t="shared" si="23"/>
        <v>5158.1208299999998</v>
      </c>
      <c r="AA40" s="591">
        <f t="shared" si="23"/>
        <v>5158.1208299999998</v>
      </c>
      <c r="AB40" s="626">
        <f t="shared" si="23"/>
        <v>5158.1208299999998</v>
      </c>
      <c r="AC40" s="11"/>
      <c r="AD40" s="11"/>
      <c r="AE40" s="28"/>
    </row>
    <row r="41" spans="1:31" ht="12" customHeight="1">
      <c r="A41" s="517"/>
      <c r="B41" s="591"/>
      <c r="C41" s="253"/>
      <c r="D41" s="591"/>
      <c r="E41" s="591"/>
      <c r="F41" s="591"/>
      <c r="G41" s="591"/>
      <c r="H41" s="591"/>
      <c r="I41" s="591"/>
      <c r="J41" s="591"/>
      <c r="K41" s="591"/>
      <c r="L41" s="591"/>
      <c r="M41" s="591"/>
      <c r="N41" s="591"/>
      <c r="O41" s="591"/>
      <c r="P41" s="591"/>
      <c r="Q41" s="591"/>
      <c r="R41" s="591"/>
      <c r="S41" s="591"/>
      <c r="T41" s="591"/>
      <c r="U41" s="591"/>
      <c r="V41" s="591"/>
      <c r="W41" s="591"/>
      <c r="X41" s="591"/>
      <c r="Y41" s="591"/>
      <c r="Z41" s="591"/>
      <c r="AA41" s="591"/>
      <c r="AB41" s="626"/>
      <c r="AC41" s="11"/>
      <c r="AD41" s="11"/>
      <c r="AE41" s="28"/>
    </row>
    <row r="42" spans="1:31" ht="12" customHeight="1">
      <c r="A42" s="629" t="s">
        <v>250</v>
      </c>
      <c r="B42" s="529"/>
      <c r="C42" s="545"/>
      <c r="D42" s="529">
        <f>B40-D40</f>
        <v>170730.9774658333</v>
      </c>
      <c r="E42" s="529">
        <f>D42-E40</f>
        <v>165164.7388358333</v>
      </c>
      <c r="F42" s="529">
        <f t="shared" ref="F42:AB42" si="24">E42-F40</f>
        <v>159598.50020583329</v>
      </c>
      <c r="G42" s="529">
        <f t="shared" si="24"/>
        <v>154032.26157583328</v>
      </c>
      <c r="H42" s="529">
        <f t="shared" si="24"/>
        <v>148466.02294583328</v>
      </c>
      <c r="I42" s="529">
        <f t="shared" si="24"/>
        <v>143137.85303249993</v>
      </c>
      <c r="J42" s="529">
        <f t="shared" si="24"/>
        <v>137979.73220249993</v>
      </c>
      <c r="K42" s="529">
        <f t="shared" si="24"/>
        <v>132821.61137249993</v>
      </c>
      <c r="L42" s="529">
        <f t="shared" si="24"/>
        <v>127663.49054249993</v>
      </c>
      <c r="M42" s="529">
        <f t="shared" si="24"/>
        <v>122505.36971249993</v>
      </c>
      <c r="N42" s="529">
        <f t="shared" si="24"/>
        <v>117347.24888249993</v>
      </c>
      <c r="O42" s="529">
        <f t="shared" si="24"/>
        <v>112189.12805249993</v>
      </c>
      <c r="P42" s="529">
        <f t="shared" si="24"/>
        <v>107031.00722249993</v>
      </c>
      <c r="Q42" s="529">
        <f t="shared" si="24"/>
        <v>101872.88639249993</v>
      </c>
      <c r="R42" s="529">
        <f t="shared" si="24"/>
        <v>96714.765562499932</v>
      </c>
      <c r="S42" s="529">
        <f t="shared" si="24"/>
        <v>91556.644732499932</v>
      </c>
      <c r="T42" s="529">
        <f t="shared" si="24"/>
        <v>86398.523902499932</v>
      </c>
      <c r="U42" s="529">
        <f t="shared" si="24"/>
        <v>81240.403072499932</v>
      </c>
      <c r="V42" s="529">
        <f t="shared" si="24"/>
        <v>76082.282242499932</v>
      </c>
      <c r="W42" s="529">
        <f t="shared" si="24"/>
        <v>70924.161412499932</v>
      </c>
      <c r="X42" s="529">
        <f t="shared" si="24"/>
        <v>65766.040582499932</v>
      </c>
      <c r="Y42" s="529">
        <f t="shared" si="24"/>
        <v>60607.919752499933</v>
      </c>
      <c r="Z42" s="529">
        <f t="shared" si="24"/>
        <v>55449.798922499933</v>
      </c>
      <c r="AA42" s="529">
        <f t="shared" si="24"/>
        <v>50291.678092499933</v>
      </c>
      <c r="AB42" s="631">
        <f t="shared" si="24"/>
        <v>45133.557262499933</v>
      </c>
      <c r="AC42" s="11"/>
      <c r="AD42" s="11"/>
      <c r="AE42" s="28"/>
    </row>
    <row r="43" spans="1:31" ht="12" customHeight="1"/>
    <row r="44" spans="1:31" ht="12" customHeight="1">
      <c r="A44" s="617" t="s">
        <v>121</v>
      </c>
      <c r="B44" s="638" t="s">
        <v>0</v>
      </c>
      <c r="C44" s="534"/>
      <c r="D44" s="437">
        <v>1</v>
      </c>
      <c r="E44" s="437">
        <f>D44+1</f>
        <v>2</v>
      </c>
      <c r="F44" s="437">
        <f t="shared" ref="F44:AB44" si="25">E44+1</f>
        <v>3</v>
      </c>
      <c r="G44" s="437">
        <f t="shared" si="25"/>
        <v>4</v>
      </c>
      <c r="H44" s="437">
        <f t="shared" si="25"/>
        <v>5</v>
      </c>
      <c r="I44" s="437">
        <f t="shared" si="25"/>
        <v>6</v>
      </c>
      <c r="J44" s="437">
        <f t="shared" si="25"/>
        <v>7</v>
      </c>
      <c r="K44" s="639">
        <f t="shared" si="25"/>
        <v>8</v>
      </c>
      <c r="L44" s="437">
        <f t="shared" si="25"/>
        <v>9</v>
      </c>
      <c r="M44" s="437">
        <f t="shared" si="25"/>
        <v>10</v>
      </c>
      <c r="N44" s="437">
        <f t="shared" si="25"/>
        <v>11</v>
      </c>
      <c r="O44" s="437">
        <f t="shared" si="25"/>
        <v>12</v>
      </c>
      <c r="P44" s="437">
        <f t="shared" si="25"/>
        <v>13</v>
      </c>
      <c r="Q44" s="639">
        <f t="shared" si="25"/>
        <v>14</v>
      </c>
      <c r="R44" s="437">
        <f t="shared" si="25"/>
        <v>15</v>
      </c>
      <c r="S44" s="437">
        <f t="shared" si="25"/>
        <v>16</v>
      </c>
      <c r="T44" s="437">
        <f t="shared" si="25"/>
        <v>17</v>
      </c>
      <c r="U44" s="437">
        <f t="shared" si="25"/>
        <v>18</v>
      </c>
      <c r="V44" s="437">
        <f t="shared" si="25"/>
        <v>19</v>
      </c>
      <c r="W44" s="639">
        <f t="shared" si="25"/>
        <v>20</v>
      </c>
      <c r="X44" s="437">
        <f t="shared" si="25"/>
        <v>21</v>
      </c>
      <c r="Y44" s="437">
        <f t="shared" si="25"/>
        <v>22</v>
      </c>
      <c r="Z44" s="437">
        <f t="shared" si="25"/>
        <v>23</v>
      </c>
      <c r="AA44" s="437">
        <f t="shared" si="25"/>
        <v>24</v>
      </c>
      <c r="AB44" s="615">
        <f t="shared" si="25"/>
        <v>25</v>
      </c>
      <c r="AC44" s="2"/>
      <c r="AE44" s="24"/>
    </row>
    <row r="45" spans="1:31" ht="12" customHeight="1">
      <c r="A45" s="517" t="s">
        <v>259</v>
      </c>
      <c r="B45" s="591">
        <f>'Project Assumptions'!C31</f>
        <v>160217.10399999999</v>
      </c>
      <c r="C45" s="633"/>
      <c r="D45" s="634">
        <v>1</v>
      </c>
      <c r="E45" s="634">
        <v>1</v>
      </c>
      <c r="F45" s="634">
        <v>1</v>
      </c>
      <c r="G45" s="634">
        <v>1</v>
      </c>
      <c r="H45" s="634">
        <v>1</v>
      </c>
      <c r="I45" s="634">
        <v>1</v>
      </c>
      <c r="J45" s="634">
        <v>1</v>
      </c>
      <c r="K45" s="634">
        <v>1</v>
      </c>
      <c r="L45" s="634">
        <v>1</v>
      </c>
      <c r="M45" s="634">
        <v>1</v>
      </c>
      <c r="N45" s="634">
        <v>1</v>
      </c>
      <c r="O45" s="634">
        <v>1</v>
      </c>
      <c r="P45" s="634">
        <v>1</v>
      </c>
      <c r="Q45" s="634">
        <v>1</v>
      </c>
      <c r="R45" s="634">
        <v>1</v>
      </c>
      <c r="S45" s="634">
        <v>1</v>
      </c>
      <c r="T45" s="634">
        <v>1</v>
      </c>
      <c r="U45" s="634">
        <v>1</v>
      </c>
      <c r="V45" s="634">
        <v>1</v>
      </c>
      <c r="W45" s="634">
        <v>1</v>
      </c>
      <c r="X45" s="634">
        <v>1</v>
      </c>
      <c r="Y45" s="634">
        <v>1</v>
      </c>
      <c r="Z45" s="634">
        <v>1</v>
      </c>
      <c r="AA45" s="634">
        <v>1</v>
      </c>
      <c r="AB45" s="635">
        <v>1</v>
      </c>
      <c r="AC45" s="41"/>
      <c r="AD45" s="25"/>
      <c r="AE45" s="26"/>
    </row>
    <row r="46" spans="1:31" ht="11.25" customHeight="1">
      <c r="A46" s="517" t="s">
        <v>255</v>
      </c>
      <c r="B46" s="297"/>
      <c r="C46" s="253"/>
      <c r="D46" s="282">
        <f t="shared" ref="D46:AB46" si="26">$B$45*D45</f>
        <v>160217.10399999999</v>
      </c>
      <c r="E46" s="282">
        <f t="shared" si="26"/>
        <v>160217.10399999999</v>
      </c>
      <c r="F46" s="282">
        <f t="shared" si="26"/>
        <v>160217.10399999999</v>
      </c>
      <c r="G46" s="282">
        <f t="shared" si="26"/>
        <v>160217.10399999999</v>
      </c>
      <c r="H46" s="282">
        <f t="shared" si="26"/>
        <v>160217.10399999999</v>
      </c>
      <c r="I46" s="282">
        <f t="shared" si="26"/>
        <v>160217.10399999999</v>
      </c>
      <c r="J46" s="282">
        <f t="shared" si="26"/>
        <v>160217.10399999999</v>
      </c>
      <c r="K46" s="282">
        <f t="shared" si="26"/>
        <v>160217.10399999999</v>
      </c>
      <c r="L46" s="282">
        <f t="shared" si="26"/>
        <v>160217.10399999999</v>
      </c>
      <c r="M46" s="282">
        <f t="shared" si="26"/>
        <v>160217.10399999999</v>
      </c>
      <c r="N46" s="282">
        <f t="shared" si="26"/>
        <v>160217.10399999999</v>
      </c>
      <c r="O46" s="282">
        <f t="shared" si="26"/>
        <v>160217.10399999999</v>
      </c>
      <c r="P46" s="282">
        <f t="shared" si="26"/>
        <v>160217.10399999999</v>
      </c>
      <c r="Q46" s="282">
        <f t="shared" si="26"/>
        <v>160217.10399999999</v>
      </c>
      <c r="R46" s="282">
        <f t="shared" si="26"/>
        <v>160217.10399999999</v>
      </c>
      <c r="S46" s="282">
        <f t="shared" si="26"/>
        <v>160217.10399999999</v>
      </c>
      <c r="T46" s="282">
        <f t="shared" si="26"/>
        <v>160217.10399999999</v>
      </c>
      <c r="U46" s="282">
        <f t="shared" si="26"/>
        <v>160217.10399999999</v>
      </c>
      <c r="V46" s="282">
        <f t="shared" si="26"/>
        <v>160217.10399999999</v>
      </c>
      <c r="W46" s="282">
        <f t="shared" si="26"/>
        <v>160217.10399999999</v>
      </c>
      <c r="X46" s="282">
        <f t="shared" si="26"/>
        <v>160217.10399999999</v>
      </c>
      <c r="Y46" s="282">
        <f t="shared" si="26"/>
        <v>160217.10399999999</v>
      </c>
      <c r="Z46" s="282">
        <f t="shared" si="26"/>
        <v>160217.10399999999</v>
      </c>
      <c r="AA46" s="282">
        <f t="shared" si="26"/>
        <v>160217.10399999999</v>
      </c>
      <c r="AB46" s="586">
        <f t="shared" si="26"/>
        <v>160217.10399999999</v>
      </c>
      <c r="AC46" s="28"/>
    </row>
    <row r="47" spans="1:31" ht="11.25" customHeight="1">
      <c r="A47" s="517"/>
      <c r="B47" s="295"/>
      <c r="C47" s="253"/>
      <c r="D47" s="288"/>
      <c r="E47" s="288"/>
      <c r="F47" s="288"/>
      <c r="G47" s="288"/>
      <c r="H47" s="288"/>
      <c r="I47" s="288"/>
      <c r="J47" s="288"/>
      <c r="K47" s="288"/>
      <c r="L47" s="288"/>
      <c r="M47" s="288"/>
      <c r="N47" s="288"/>
      <c r="O47" s="288"/>
      <c r="P47" s="288"/>
      <c r="Q47" s="288"/>
      <c r="R47" s="288"/>
      <c r="S47" s="288"/>
      <c r="T47" s="288"/>
      <c r="U47" s="288"/>
      <c r="V47" s="288"/>
      <c r="W47" s="288"/>
      <c r="X47" s="288"/>
      <c r="Y47" s="288"/>
      <c r="Z47" s="288"/>
      <c r="AA47" s="288"/>
      <c r="AB47" s="520"/>
      <c r="AC47" s="28"/>
      <c r="AD47" s="11"/>
      <c r="AE47" s="11"/>
    </row>
    <row r="48" spans="1:31" ht="12" customHeight="1">
      <c r="A48" s="517" t="s">
        <v>638</v>
      </c>
      <c r="B48" s="640">
        <f>0.0015</f>
        <v>1.5E-3</v>
      </c>
      <c r="C48" s="641">
        <f>'Project Assumptions'!C31-'Project Assumptions'!C25-200</f>
        <v>159648.06299999999</v>
      </c>
      <c r="D48" s="282">
        <f>$C$48*$B$48</f>
        <v>239.4720945</v>
      </c>
      <c r="E48" s="282">
        <f t="shared" ref="E48:AB48" si="27">$C$48*$B$48</f>
        <v>239.4720945</v>
      </c>
      <c r="F48" s="282">
        <f t="shared" si="27"/>
        <v>239.4720945</v>
      </c>
      <c r="G48" s="282">
        <f t="shared" si="27"/>
        <v>239.4720945</v>
      </c>
      <c r="H48" s="282">
        <f t="shared" si="27"/>
        <v>239.4720945</v>
      </c>
      <c r="I48" s="282">
        <f t="shared" si="27"/>
        <v>239.4720945</v>
      </c>
      <c r="J48" s="282">
        <f t="shared" si="27"/>
        <v>239.4720945</v>
      </c>
      <c r="K48" s="282">
        <f t="shared" si="27"/>
        <v>239.4720945</v>
      </c>
      <c r="L48" s="282">
        <f t="shared" si="27"/>
        <v>239.4720945</v>
      </c>
      <c r="M48" s="282">
        <f t="shared" si="27"/>
        <v>239.4720945</v>
      </c>
      <c r="N48" s="282">
        <f t="shared" si="27"/>
        <v>239.4720945</v>
      </c>
      <c r="O48" s="282">
        <f t="shared" si="27"/>
        <v>239.4720945</v>
      </c>
      <c r="P48" s="282">
        <f t="shared" si="27"/>
        <v>239.4720945</v>
      </c>
      <c r="Q48" s="282">
        <f t="shared" si="27"/>
        <v>239.4720945</v>
      </c>
      <c r="R48" s="282">
        <f t="shared" si="27"/>
        <v>239.4720945</v>
      </c>
      <c r="S48" s="282">
        <f t="shared" si="27"/>
        <v>239.4720945</v>
      </c>
      <c r="T48" s="282">
        <f t="shared" si="27"/>
        <v>239.4720945</v>
      </c>
      <c r="U48" s="282">
        <f t="shared" si="27"/>
        <v>239.4720945</v>
      </c>
      <c r="V48" s="282">
        <f t="shared" si="27"/>
        <v>239.4720945</v>
      </c>
      <c r="W48" s="282">
        <f t="shared" si="27"/>
        <v>239.4720945</v>
      </c>
      <c r="X48" s="282">
        <f t="shared" si="27"/>
        <v>239.4720945</v>
      </c>
      <c r="Y48" s="282">
        <f t="shared" si="27"/>
        <v>239.4720945</v>
      </c>
      <c r="Z48" s="282">
        <f t="shared" si="27"/>
        <v>239.4720945</v>
      </c>
      <c r="AA48" s="282">
        <f t="shared" si="27"/>
        <v>239.4720945</v>
      </c>
      <c r="AB48" s="586">
        <f t="shared" si="27"/>
        <v>239.4720945</v>
      </c>
      <c r="AC48" s="27"/>
      <c r="AD48" s="25"/>
      <c r="AE48" s="26"/>
    </row>
    <row r="49" spans="1:31" ht="12" customHeight="1">
      <c r="A49" s="517" t="s">
        <v>282</v>
      </c>
      <c r="B49" s="640">
        <f>SchoolMillageTaxRate+'Project Assumptions'!U9+CountyMillageTaxRate+CityTaxRate</f>
        <v>1.078E-2</v>
      </c>
      <c r="C49" s="253">
        <f>'Project Assumptions'!C25</f>
        <v>369.041</v>
      </c>
      <c r="D49" s="285">
        <f>$C$49*$B$49</f>
        <v>3.9782619799999996</v>
      </c>
      <c r="E49" s="285">
        <f t="shared" ref="E49:AB49" si="28">$C$49*$B$49</f>
        <v>3.9782619799999996</v>
      </c>
      <c r="F49" s="285">
        <f t="shared" si="28"/>
        <v>3.9782619799999996</v>
      </c>
      <c r="G49" s="285">
        <f t="shared" si="28"/>
        <v>3.9782619799999996</v>
      </c>
      <c r="H49" s="285">
        <f t="shared" si="28"/>
        <v>3.9782619799999996</v>
      </c>
      <c r="I49" s="285">
        <f t="shared" si="28"/>
        <v>3.9782619799999996</v>
      </c>
      <c r="J49" s="285">
        <f t="shared" si="28"/>
        <v>3.9782619799999996</v>
      </c>
      <c r="K49" s="285">
        <f t="shared" si="28"/>
        <v>3.9782619799999996</v>
      </c>
      <c r="L49" s="285">
        <f t="shared" si="28"/>
        <v>3.9782619799999996</v>
      </c>
      <c r="M49" s="285">
        <f t="shared" si="28"/>
        <v>3.9782619799999996</v>
      </c>
      <c r="N49" s="285">
        <f t="shared" si="28"/>
        <v>3.9782619799999996</v>
      </c>
      <c r="O49" s="285">
        <f t="shared" si="28"/>
        <v>3.9782619799999996</v>
      </c>
      <c r="P49" s="285">
        <f t="shared" si="28"/>
        <v>3.9782619799999996</v>
      </c>
      <c r="Q49" s="285">
        <f t="shared" si="28"/>
        <v>3.9782619799999996</v>
      </c>
      <c r="R49" s="285">
        <f t="shared" si="28"/>
        <v>3.9782619799999996</v>
      </c>
      <c r="S49" s="285">
        <f t="shared" si="28"/>
        <v>3.9782619799999996</v>
      </c>
      <c r="T49" s="285">
        <f t="shared" si="28"/>
        <v>3.9782619799999996</v>
      </c>
      <c r="U49" s="285">
        <f t="shared" si="28"/>
        <v>3.9782619799999996</v>
      </c>
      <c r="V49" s="285">
        <f t="shared" si="28"/>
        <v>3.9782619799999996</v>
      </c>
      <c r="W49" s="285">
        <f t="shared" si="28"/>
        <v>3.9782619799999996</v>
      </c>
      <c r="X49" s="285">
        <f t="shared" si="28"/>
        <v>3.9782619799999996</v>
      </c>
      <c r="Y49" s="285">
        <f t="shared" si="28"/>
        <v>3.9782619799999996</v>
      </c>
      <c r="Z49" s="285">
        <f t="shared" si="28"/>
        <v>3.9782619799999996</v>
      </c>
      <c r="AA49" s="285">
        <f t="shared" si="28"/>
        <v>3.9782619799999996</v>
      </c>
      <c r="AB49" s="519">
        <f t="shared" si="28"/>
        <v>3.9782619799999996</v>
      </c>
      <c r="AC49" s="18"/>
      <c r="AD49" s="25"/>
      <c r="AE49" s="26"/>
    </row>
    <row r="50" spans="1:31" ht="12" customHeight="1">
      <c r="A50" s="517" t="s">
        <v>270</v>
      </c>
      <c r="B50" s="640">
        <f>SchoolMillageTaxRate+'Project Assumptions'!U9+CountyMillageTaxRate+CityTaxRate</f>
        <v>1.078E-2</v>
      </c>
      <c r="C50" s="253">
        <v>200</v>
      </c>
      <c r="D50" s="300">
        <f>$C$50*$B$50</f>
        <v>2.1560000000000001</v>
      </c>
      <c r="E50" s="300">
        <f t="shared" ref="E50:AB50" si="29">$C$50*$B$50</f>
        <v>2.1560000000000001</v>
      </c>
      <c r="F50" s="300">
        <f t="shared" si="29"/>
        <v>2.1560000000000001</v>
      </c>
      <c r="G50" s="300">
        <f t="shared" si="29"/>
        <v>2.1560000000000001</v>
      </c>
      <c r="H50" s="300">
        <f t="shared" si="29"/>
        <v>2.1560000000000001</v>
      </c>
      <c r="I50" s="300">
        <f t="shared" si="29"/>
        <v>2.1560000000000001</v>
      </c>
      <c r="J50" s="300">
        <f t="shared" si="29"/>
        <v>2.1560000000000001</v>
      </c>
      <c r="K50" s="300">
        <f t="shared" si="29"/>
        <v>2.1560000000000001</v>
      </c>
      <c r="L50" s="300">
        <f t="shared" si="29"/>
        <v>2.1560000000000001</v>
      </c>
      <c r="M50" s="300">
        <f t="shared" si="29"/>
        <v>2.1560000000000001</v>
      </c>
      <c r="N50" s="300">
        <f t="shared" si="29"/>
        <v>2.1560000000000001</v>
      </c>
      <c r="O50" s="300">
        <f t="shared" si="29"/>
        <v>2.1560000000000001</v>
      </c>
      <c r="P50" s="300">
        <f t="shared" si="29"/>
        <v>2.1560000000000001</v>
      </c>
      <c r="Q50" s="300">
        <f t="shared" si="29"/>
        <v>2.1560000000000001</v>
      </c>
      <c r="R50" s="300">
        <f t="shared" si="29"/>
        <v>2.1560000000000001</v>
      </c>
      <c r="S50" s="300">
        <f t="shared" si="29"/>
        <v>2.1560000000000001</v>
      </c>
      <c r="T50" s="300">
        <f t="shared" si="29"/>
        <v>2.1560000000000001</v>
      </c>
      <c r="U50" s="300">
        <f t="shared" si="29"/>
        <v>2.1560000000000001</v>
      </c>
      <c r="V50" s="300">
        <f t="shared" si="29"/>
        <v>2.1560000000000001</v>
      </c>
      <c r="W50" s="300">
        <f t="shared" si="29"/>
        <v>2.1560000000000001</v>
      </c>
      <c r="X50" s="300">
        <f t="shared" si="29"/>
        <v>2.1560000000000001</v>
      </c>
      <c r="Y50" s="300">
        <f t="shared" si="29"/>
        <v>2.1560000000000001</v>
      </c>
      <c r="Z50" s="300">
        <f t="shared" si="29"/>
        <v>2.1560000000000001</v>
      </c>
      <c r="AA50" s="300">
        <f t="shared" si="29"/>
        <v>2.1560000000000001</v>
      </c>
      <c r="AB50" s="527">
        <f t="shared" si="29"/>
        <v>2.1560000000000001</v>
      </c>
      <c r="AC50" s="43"/>
      <c r="AD50" s="25"/>
      <c r="AE50" s="26"/>
    </row>
    <row r="51" spans="1:31" s="42" customFormat="1">
      <c r="A51" s="544" t="s">
        <v>269</v>
      </c>
      <c r="B51" s="545"/>
      <c r="C51" s="545"/>
      <c r="D51" s="642">
        <f>SUM(D48:D50)</f>
        <v>245.60635648000002</v>
      </c>
      <c r="E51" s="642">
        <f>SUM(E48:E50)</f>
        <v>245.60635648000002</v>
      </c>
      <c r="F51" s="642">
        <f t="shared" ref="F51:AB51" si="30">SUM(F48:F50)</f>
        <v>245.60635648000002</v>
      </c>
      <c r="G51" s="642">
        <f t="shared" si="30"/>
        <v>245.60635648000002</v>
      </c>
      <c r="H51" s="642">
        <f t="shared" si="30"/>
        <v>245.60635648000002</v>
      </c>
      <c r="I51" s="642">
        <f t="shared" si="30"/>
        <v>245.60635648000002</v>
      </c>
      <c r="J51" s="642">
        <f t="shared" si="30"/>
        <v>245.60635648000002</v>
      </c>
      <c r="K51" s="642">
        <f t="shared" si="30"/>
        <v>245.60635648000002</v>
      </c>
      <c r="L51" s="642">
        <f t="shared" si="30"/>
        <v>245.60635648000002</v>
      </c>
      <c r="M51" s="642">
        <f t="shared" si="30"/>
        <v>245.60635648000002</v>
      </c>
      <c r="N51" s="642">
        <f t="shared" si="30"/>
        <v>245.60635648000002</v>
      </c>
      <c r="O51" s="642">
        <f t="shared" si="30"/>
        <v>245.60635648000002</v>
      </c>
      <c r="P51" s="642">
        <f t="shared" si="30"/>
        <v>245.60635648000002</v>
      </c>
      <c r="Q51" s="642">
        <f t="shared" si="30"/>
        <v>245.60635648000002</v>
      </c>
      <c r="R51" s="642">
        <f t="shared" si="30"/>
        <v>245.60635648000002</v>
      </c>
      <c r="S51" s="642">
        <f t="shared" si="30"/>
        <v>245.60635648000002</v>
      </c>
      <c r="T51" s="642">
        <f t="shared" si="30"/>
        <v>245.60635648000002</v>
      </c>
      <c r="U51" s="642">
        <f t="shared" si="30"/>
        <v>245.60635648000002</v>
      </c>
      <c r="V51" s="642">
        <f t="shared" si="30"/>
        <v>245.60635648000002</v>
      </c>
      <c r="W51" s="642">
        <f t="shared" si="30"/>
        <v>245.60635648000002</v>
      </c>
      <c r="X51" s="642">
        <f t="shared" si="30"/>
        <v>245.60635648000002</v>
      </c>
      <c r="Y51" s="642">
        <f t="shared" si="30"/>
        <v>245.60635648000002</v>
      </c>
      <c r="Z51" s="642">
        <f t="shared" si="30"/>
        <v>245.60635648000002</v>
      </c>
      <c r="AA51" s="642">
        <f t="shared" si="30"/>
        <v>245.60635648000002</v>
      </c>
      <c r="AB51" s="643">
        <f t="shared" si="30"/>
        <v>245.60635648000002</v>
      </c>
      <c r="AC51" s="44"/>
    </row>
    <row r="52" spans="1:31" ht="11.25" customHeight="1">
      <c r="A52" s="269"/>
      <c r="B52" s="270"/>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c r="AC52" s="25"/>
      <c r="AD52" s="25"/>
      <c r="AE52" s="26"/>
    </row>
    <row r="53" spans="1:31" ht="13.5" customHeight="1">
      <c r="A53" s="269"/>
      <c r="B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11"/>
      <c r="AD53" s="11"/>
      <c r="AE53" s="28"/>
    </row>
    <row r="54" spans="1:31" ht="13.5" customHeight="1">
      <c r="A54" s="276" t="s">
        <v>72</v>
      </c>
      <c r="B54" s="277"/>
      <c r="D54" s="271"/>
      <c r="E54" s="271"/>
      <c r="F54" s="271"/>
      <c r="G54" s="271"/>
      <c r="H54" s="271"/>
      <c r="I54" s="271"/>
      <c r="J54" s="271"/>
      <c r="K54" s="271"/>
      <c r="L54" s="271"/>
      <c r="M54" s="271"/>
      <c r="N54" s="271"/>
      <c r="O54" s="271"/>
      <c r="P54" s="271"/>
      <c r="Q54" s="271"/>
      <c r="R54" s="271"/>
      <c r="S54" s="271"/>
      <c r="T54" s="271"/>
      <c r="U54" s="271"/>
      <c r="V54" s="271"/>
      <c r="W54" s="271"/>
      <c r="X54" s="271"/>
      <c r="Y54" s="271"/>
      <c r="Z54" s="271"/>
      <c r="AA54" s="271"/>
      <c r="AB54" s="271"/>
      <c r="AC54" s="11"/>
      <c r="AD54" s="11"/>
      <c r="AE54" s="28"/>
    </row>
    <row r="55" spans="1:31" ht="13.5" customHeight="1" outlineLevel="1">
      <c r="A55" s="247" t="s">
        <v>73</v>
      </c>
      <c r="B55" s="247"/>
      <c r="D55" s="271"/>
      <c r="E55" s="271"/>
      <c r="F55" s="271"/>
      <c r="G55" s="271"/>
      <c r="H55" s="271"/>
      <c r="I55" s="271"/>
      <c r="J55" s="271"/>
      <c r="K55" s="271"/>
      <c r="L55" s="271"/>
      <c r="M55" s="271"/>
      <c r="N55" s="271"/>
      <c r="O55" s="271"/>
      <c r="P55" s="271"/>
      <c r="Q55" s="271"/>
      <c r="R55" s="271"/>
      <c r="S55" s="271"/>
      <c r="T55" s="271"/>
      <c r="U55" s="271"/>
      <c r="V55" s="271"/>
      <c r="W55" s="271"/>
      <c r="X55" s="271"/>
      <c r="Y55" s="271"/>
      <c r="Z55" s="271"/>
      <c r="AA55" s="271"/>
      <c r="AB55" s="271"/>
      <c r="AC55" s="11"/>
      <c r="AD55" s="11"/>
      <c r="AE55" s="28"/>
    </row>
    <row r="56" spans="1:31" ht="13.5" customHeight="1" outlineLevel="1">
      <c r="A56" s="247" t="s">
        <v>6</v>
      </c>
      <c r="B56" s="277" t="s">
        <v>74</v>
      </c>
    </row>
    <row r="57" spans="1:31" ht="13.5" customHeight="1" outlineLevel="1">
      <c r="A57" s="247">
        <v>1</v>
      </c>
      <c r="B57" s="380">
        <v>0.05</v>
      </c>
    </row>
    <row r="58" spans="1:31" ht="13.5" customHeight="1" outlineLevel="1">
      <c r="A58" s="247">
        <v>2</v>
      </c>
      <c r="B58" s="380">
        <v>9.5000000000000001E-2</v>
      </c>
    </row>
    <row r="59" spans="1:31" ht="13.5" customHeight="1" outlineLevel="1">
      <c r="A59" s="247">
        <v>3</v>
      </c>
      <c r="B59" s="380">
        <v>8.5500000000000007E-2</v>
      </c>
    </row>
    <row r="60" spans="1:31" ht="13.5" customHeight="1" outlineLevel="1">
      <c r="A60" s="247">
        <v>4</v>
      </c>
      <c r="B60" s="380">
        <v>7.6999999999999999E-2</v>
      </c>
    </row>
    <row r="61" spans="1:31" ht="13.5" customHeight="1" outlineLevel="1">
      <c r="A61" s="247">
        <v>5</v>
      </c>
      <c r="B61" s="380">
        <v>6.93E-2</v>
      </c>
    </row>
    <row r="62" spans="1:31" ht="13.5" customHeight="1" outlineLevel="1">
      <c r="A62" s="247">
        <v>6</v>
      </c>
      <c r="B62" s="380">
        <v>6.2300000000000001E-2</v>
      </c>
    </row>
    <row r="63" spans="1:31" ht="13.5" customHeight="1" outlineLevel="1">
      <c r="A63" s="247">
        <v>7</v>
      </c>
      <c r="B63" s="380">
        <v>5.8999999999999997E-2</v>
      </c>
    </row>
    <row r="64" spans="1:31" ht="13.5" customHeight="1" outlineLevel="1">
      <c r="A64" s="247">
        <v>8</v>
      </c>
      <c r="B64" s="380">
        <v>5.91E-2</v>
      </c>
    </row>
    <row r="65" spans="1:2" ht="13.5" customHeight="1" outlineLevel="1">
      <c r="A65" s="247">
        <v>9</v>
      </c>
      <c r="B65" s="380">
        <v>5.8999999999999997E-2</v>
      </c>
    </row>
    <row r="66" spans="1:2" ht="13.5" customHeight="1" outlineLevel="1">
      <c r="A66" s="247">
        <v>10</v>
      </c>
      <c r="B66" s="380">
        <v>5.91E-2</v>
      </c>
    </row>
    <row r="67" spans="1:2" ht="13.5" customHeight="1" outlineLevel="1">
      <c r="A67" s="247">
        <v>11</v>
      </c>
      <c r="B67" s="380">
        <v>5.8999999999999997E-2</v>
      </c>
    </row>
    <row r="68" spans="1:2" ht="12.75" outlineLevel="1">
      <c r="A68" s="247">
        <v>12</v>
      </c>
      <c r="B68" s="380">
        <v>5.91E-2</v>
      </c>
    </row>
    <row r="69" spans="1:2" ht="12.75" outlineLevel="1">
      <c r="A69" s="247">
        <v>13</v>
      </c>
      <c r="B69" s="380">
        <v>5.8999999999999997E-2</v>
      </c>
    </row>
    <row r="70" spans="1:2" ht="12.75" outlineLevel="1">
      <c r="A70" s="247">
        <v>14</v>
      </c>
      <c r="B70" s="380">
        <v>5.91E-2</v>
      </c>
    </row>
    <row r="71" spans="1:2" ht="12.75" outlineLevel="1">
      <c r="A71" s="247">
        <v>15</v>
      </c>
      <c r="B71" s="380">
        <v>5.8999999999999997E-2</v>
      </c>
    </row>
    <row r="72" spans="1:2" ht="12.75" outlineLevel="1">
      <c r="A72" s="247">
        <v>16</v>
      </c>
      <c r="B72" s="381">
        <v>2.9499999999999998E-2</v>
      </c>
    </row>
    <row r="73" spans="1:2">
      <c r="B73" s="382">
        <f>SUM(B57:B72)</f>
        <v>1.0000000000000004</v>
      </c>
    </row>
    <row r="74" spans="1:2" ht="12.75">
      <c r="A74" s="276" t="s">
        <v>75</v>
      </c>
      <c r="B74" s="247"/>
    </row>
    <row r="75" spans="1:2" ht="12.75" hidden="1" outlineLevel="1">
      <c r="A75" s="247" t="s">
        <v>73</v>
      </c>
      <c r="B75" s="247"/>
    </row>
    <row r="76" spans="1:2" ht="12.75" hidden="1" outlineLevel="1">
      <c r="A76" s="247" t="s">
        <v>6</v>
      </c>
      <c r="B76" s="247" t="s">
        <v>74</v>
      </c>
    </row>
    <row r="77" spans="1:2" ht="12.75" hidden="1" outlineLevel="1">
      <c r="A77" s="247">
        <v>1</v>
      </c>
      <c r="B77" s="278">
        <v>3.7499999999999999E-2</v>
      </c>
    </row>
    <row r="78" spans="1:2" ht="12.75" hidden="1" outlineLevel="1">
      <c r="A78" s="247">
        <v>2</v>
      </c>
      <c r="B78" s="278">
        <v>7.2190000000000004E-2</v>
      </c>
    </row>
    <row r="79" spans="1:2" ht="12.75" hidden="1" outlineLevel="1">
      <c r="A79" s="247">
        <v>3</v>
      </c>
      <c r="B79" s="278">
        <v>6.6769999999999996E-2</v>
      </c>
    </row>
    <row r="80" spans="1:2" ht="12.75" hidden="1" outlineLevel="1">
      <c r="A80" s="247">
        <v>4</v>
      </c>
      <c r="B80" s="278">
        <v>6.1769999999999999E-2</v>
      </c>
    </row>
    <row r="81" spans="1:2" ht="12.75" hidden="1" outlineLevel="1">
      <c r="A81" s="247">
        <v>5</v>
      </c>
      <c r="B81" s="278">
        <v>5.713E-2</v>
      </c>
    </row>
    <row r="82" spans="1:2" ht="12.75" hidden="1" outlineLevel="1">
      <c r="A82" s="247">
        <v>6</v>
      </c>
      <c r="B82" s="278">
        <v>5.2850000000000001E-2</v>
      </c>
    </row>
    <row r="83" spans="1:2" ht="12.75" hidden="1" outlineLevel="1">
      <c r="A83" s="247">
        <v>7</v>
      </c>
      <c r="B83" s="278">
        <v>4.888E-2</v>
      </c>
    </row>
    <row r="84" spans="1:2" ht="12.75" hidden="1" outlineLevel="1">
      <c r="A84" s="247">
        <v>8</v>
      </c>
      <c r="B84" s="278">
        <v>4.5220000000000003E-2</v>
      </c>
    </row>
    <row r="85" spans="1:2" ht="12.75" hidden="1" outlineLevel="1">
      <c r="A85" s="247">
        <v>9</v>
      </c>
      <c r="B85" s="278">
        <v>4.462E-2</v>
      </c>
    </row>
    <row r="86" spans="1:2" ht="12.75" hidden="1" outlineLevel="1">
      <c r="A86" s="247">
        <v>10</v>
      </c>
      <c r="B86" s="278">
        <v>4.4609999999999997E-2</v>
      </c>
    </row>
    <row r="87" spans="1:2" ht="12.75" hidden="1" outlineLevel="1">
      <c r="A87" s="247">
        <v>11</v>
      </c>
      <c r="B87" s="278">
        <v>4.462E-2</v>
      </c>
    </row>
    <row r="88" spans="1:2" ht="12.75" hidden="1" outlineLevel="1">
      <c r="A88" s="247">
        <v>12</v>
      </c>
      <c r="B88" s="278">
        <v>4.4609999999999997E-2</v>
      </c>
    </row>
    <row r="89" spans="1:2" ht="12.75" hidden="1" outlineLevel="1">
      <c r="A89" s="247">
        <v>13</v>
      </c>
      <c r="B89" s="278">
        <v>4.462E-2</v>
      </c>
    </row>
    <row r="90" spans="1:2" ht="12.75" hidden="1" outlineLevel="1">
      <c r="A90" s="247">
        <v>14</v>
      </c>
      <c r="B90" s="278">
        <v>4.4609999999999997E-2</v>
      </c>
    </row>
    <row r="91" spans="1:2" ht="12.75" hidden="1" outlineLevel="1">
      <c r="A91" s="247">
        <v>15</v>
      </c>
      <c r="B91" s="278">
        <v>4.462E-2</v>
      </c>
    </row>
    <row r="92" spans="1:2" ht="12.75" hidden="1" outlineLevel="1">
      <c r="A92" s="247">
        <v>16</v>
      </c>
      <c r="B92" s="278">
        <v>4.4609999999999997E-2</v>
      </c>
    </row>
    <row r="93" spans="1:2" ht="12.75" hidden="1" outlineLevel="1">
      <c r="A93" s="247">
        <v>17</v>
      </c>
      <c r="B93" s="278">
        <v>4.462E-2</v>
      </c>
    </row>
    <row r="94" spans="1:2" ht="12.75" hidden="1" outlineLevel="1">
      <c r="A94" s="247">
        <v>18</v>
      </c>
      <c r="B94" s="278">
        <v>4.4609999999999997E-2</v>
      </c>
    </row>
    <row r="95" spans="1:2" ht="12.75" hidden="1" outlineLevel="1">
      <c r="A95" s="247">
        <v>19</v>
      </c>
      <c r="B95" s="278">
        <v>4.462E-2</v>
      </c>
    </row>
    <row r="96" spans="1:2" ht="12.75" hidden="1" outlineLevel="1">
      <c r="A96" s="247">
        <v>20</v>
      </c>
      <c r="B96" s="278">
        <v>4.4609999999999997E-2</v>
      </c>
    </row>
    <row r="97" spans="1:2" ht="12.75" hidden="1" outlineLevel="1">
      <c r="A97" s="247">
        <v>21</v>
      </c>
      <c r="B97" s="278">
        <v>2.2499999999999999E-2</v>
      </c>
    </row>
    <row r="98" spans="1:2" collapsed="1"/>
  </sheetData>
  <customSheetViews>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1"/>
      <headerFooter alignWithMargins="0">
        <oddFooter>&amp;L&amp;D   &amp;T&amp;RO:\Naes\GenSvcs\TVA\TVA Model\&amp;F
&amp;A &amp;P</oddFooter>
      </headerFooter>
    </customSheetView>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50" orientation="landscape" r:id="rId3"/>
  <headerFooter alignWithMargins="0">
    <oddFooter>&amp;L&amp;D   &amp;T&amp;R&amp;F
&amp;A &amp;P</oddFooter>
  </headerFooter>
  <colBreaks count="2" manualBreakCount="2">
    <brk id="15" max="94"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F312"/>
  <sheetViews>
    <sheetView topLeftCell="A7" zoomScaleNormal="75" workbookViewId="0">
      <selection activeCell="C9" sqref="C9"/>
    </sheetView>
  </sheetViews>
  <sheetFormatPr defaultColWidth="10.5703125" defaultRowHeight="11.25"/>
  <cols>
    <col min="1" max="1" width="10.5703125" style="830"/>
    <col min="2" max="2" width="18.28515625" style="830" bestFit="1" customWidth="1"/>
    <col min="3" max="3" width="10" style="830" bestFit="1" customWidth="1"/>
    <col min="4" max="4" width="16" style="830" customWidth="1"/>
    <col min="5" max="5" width="14.28515625" style="830" bestFit="1" customWidth="1"/>
    <col min="6" max="6" width="17" style="830" bestFit="1" customWidth="1"/>
    <col min="7" max="7" width="10.5703125" style="830"/>
    <col min="8" max="8" width="12.28515625" style="830" bestFit="1" customWidth="1"/>
    <col min="9" max="9" width="7.28515625" style="830" bestFit="1" customWidth="1"/>
    <col min="10" max="11" width="10.5703125" style="830"/>
    <col min="12" max="16384" width="10.5703125" style="35"/>
  </cols>
  <sheetData>
    <row r="1" spans="1:32" ht="20.25">
      <c r="A1" s="501" t="str">
        <f>'Project Assumptions'!$A$2</f>
        <v>GLEASON, TN</v>
      </c>
      <c r="B1" s="502"/>
      <c r="C1" s="828"/>
      <c r="D1" s="828"/>
      <c r="E1" s="828"/>
      <c r="F1" s="829"/>
      <c r="G1" s="829"/>
      <c r="H1" s="829"/>
      <c r="I1" s="828"/>
      <c r="L1" s="34"/>
      <c r="M1" s="34"/>
      <c r="N1" s="34"/>
      <c r="O1" s="34"/>
      <c r="P1" s="34"/>
      <c r="Q1" s="34"/>
      <c r="R1" s="34"/>
    </row>
    <row r="2" spans="1:32" ht="12.75">
      <c r="A2" s="503" t="s">
        <v>48</v>
      </c>
      <c r="B2" s="831"/>
      <c r="C2" s="828"/>
      <c r="D2" s="828"/>
      <c r="E2" s="828"/>
      <c r="F2" s="829"/>
      <c r="G2" s="829"/>
      <c r="H2" s="829"/>
      <c r="I2" s="828"/>
      <c r="L2" s="34"/>
      <c r="M2" s="34"/>
      <c r="N2" s="34"/>
      <c r="O2" s="34"/>
      <c r="P2" s="34"/>
      <c r="Q2" s="34"/>
      <c r="R2" s="34"/>
    </row>
    <row r="3" spans="1:32" ht="12.75">
      <c r="A3" s="248"/>
      <c r="B3" s="832"/>
      <c r="C3" s="828"/>
      <c r="D3" s="828"/>
      <c r="E3" s="828"/>
      <c r="F3" s="829"/>
      <c r="G3" s="829"/>
      <c r="H3" s="829"/>
      <c r="I3" s="828"/>
      <c r="L3" s="34"/>
      <c r="M3" s="34"/>
      <c r="N3" s="34"/>
      <c r="O3" s="34"/>
      <c r="P3" s="34"/>
      <c r="Q3" s="34"/>
      <c r="R3" s="34"/>
    </row>
    <row r="4" spans="1:32" ht="11.45" customHeight="1">
      <c r="A4" s="833" t="s">
        <v>71</v>
      </c>
      <c r="B4" s="828"/>
      <c r="C4" s="828"/>
      <c r="D4" s="828"/>
      <c r="E4" s="828"/>
      <c r="F4" s="829"/>
      <c r="G4" s="829"/>
      <c r="H4" s="829"/>
      <c r="I4" s="828"/>
      <c r="L4" s="34"/>
      <c r="M4" s="34"/>
      <c r="N4" s="34"/>
      <c r="O4" s="34"/>
      <c r="P4" s="34"/>
      <c r="Q4" s="34"/>
      <c r="R4" s="34"/>
    </row>
    <row r="5" spans="1:32" ht="11.45" customHeight="1">
      <c r="C5" s="834"/>
      <c r="D5" s="834"/>
      <c r="E5" s="834"/>
      <c r="F5" s="829"/>
      <c r="G5" s="829"/>
      <c r="H5" s="828"/>
      <c r="I5" s="835"/>
      <c r="L5" s="34"/>
      <c r="M5" s="34"/>
      <c r="N5" s="34"/>
      <c r="O5" s="34"/>
      <c r="P5" s="34"/>
      <c r="Q5" s="34"/>
      <c r="R5" s="34"/>
    </row>
    <row r="6" spans="1:32" ht="11.45" customHeight="1">
      <c r="A6" s="836" t="s">
        <v>379</v>
      </c>
      <c r="B6" s="837"/>
      <c r="C6" s="838">
        <v>138356</v>
      </c>
      <c r="D6" s="839" t="str">
        <f>IF(ABS(C6-C58)&gt;1,"Total Drawdown not Updated!!!","")</f>
        <v>Total Drawdown not Updated!!!</v>
      </c>
      <c r="E6" s="828"/>
      <c r="H6" s="835"/>
      <c r="I6" s="835"/>
      <c r="L6" s="34"/>
      <c r="M6" s="34"/>
      <c r="N6" s="34"/>
      <c r="O6" s="34"/>
      <c r="P6" s="34"/>
      <c r="Q6" s="34"/>
      <c r="R6" s="34"/>
    </row>
    <row r="7" spans="1:32" ht="11.45" customHeight="1">
      <c r="A7" s="840" t="s">
        <v>49</v>
      </c>
      <c r="B7" s="841"/>
      <c r="C7" s="842">
        <f>'Project Assumptions'!B54</f>
        <v>6.4000000000000001E-2</v>
      </c>
      <c r="D7" s="843"/>
      <c r="H7" s="841"/>
      <c r="I7" s="844"/>
      <c r="L7" s="34"/>
      <c r="M7" s="34"/>
      <c r="N7" s="34"/>
      <c r="O7" s="34"/>
      <c r="P7" s="34"/>
      <c r="Q7" s="34"/>
      <c r="R7" s="34"/>
    </row>
    <row r="8" spans="1:32" ht="11.45" customHeight="1">
      <c r="A8" s="840" t="s">
        <v>50</v>
      </c>
      <c r="B8" s="841"/>
      <c r="C8" s="845">
        <v>19</v>
      </c>
      <c r="D8" s="846"/>
      <c r="G8" s="847"/>
      <c r="H8" s="844"/>
      <c r="I8" s="844"/>
      <c r="L8" s="34"/>
      <c r="M8" s="34"/>
      <c r="N8" s="34"/>
      <c r="O8" s="34"/>
      <c r="P8" s="34"/>
      <c r="Q8" s="34"/>
      <c r="R8" s="34"/>
    </row>
    <row r="9" spans="1:32">
      <c r="A9" s="840" t="s">
        <v>51</v>
      </c>
      <c r="B9" s="841"/>
      <c r="C9" s="842">
        <f>C7/12</f>
        <v>5.3333333333333332E-3</v>
      </c>
      <c r="D9" s="843"/>
      <c r="G9" s="847"/>
      <c r="H9" s="844"/>
      <c r="I9" s="844"/>
      <c r="L9" s="34"/>
      <c r="M9" s="34"/>
      <c r="N9" s="34"/>
      <c r="O9" s="34"/>
      <c r="P9" s="34"/>
      <c r="Q9" s="34"/>
      <c r="R9" s="34"/>
    </row>
    <row r="10" spans="1:32" ht="11.45" customHeight="1">
      <c r="A10" s="848"/>
      <c r="B10" s="841"/>
      <c r="C10" s="849"/>
      <c r="D10" s="841"/>
      <c r="H10" s="844"/>
      <c r="I10" s="844"/>
      <c r="L10" s="34"/>
      <c r="M10" s="34"/>
      <c r="N10" s="34"/>
      <c r="O10" s="34"/>
      <c r="P10" s="34"/>
      <c r="Q10" s="34"/>
      <c r="R10" s="34"/>
    </row>
    <row r="11" spans="1:32" ht="11.45" customHeight="1">
      <c r="A11" s="840" t="s">
        <v>475</v>
      </c>
      <c r="B11" s="841"/>
      <c r="C11" s="850">
        <v>3.5000000000000001E-3</v>
      </c>
      <c r="D11" s="851"/>
      <c r="H11" s="852"/>
      <c r="I11" s="852"/>
      <c r="L11" s="34"/>
      <c r="M11" s="34"/>
      <c r="N11" s="34"/>
      <c r="O11" s="34"/>
      <c r="P11" s="34"/>
      <c r="Q11" s="34"/>
      <c r="R11" s="34"/>
    </row>
    <row r="12" spans="1:32" ht="11.45" customHeight="1">
      <c r="A12" s="848"/>
      <c r="B12" s="841"/>
      <c r="C12" s="849"/>
      <c r="D12" s="841"/>
      <c r="L12" s="34"/>
      <c r="M12" s="34"/>
      <c r="N12" s="34"/>
      <c r="O12" s="34"/>
      <c r="P12" s="34"/>
      <c r="Q12" s="34"/>
      <c r="R12" s="34"/>
    </row>
    <row r="13" spans="1:32" ht="11.45" customHeight="1">
      <c r="A13" s="840" t="s">
        <v>52</v>
      </c>
      <c r="B13" s="841"/>
      <c r="C13" s="853">
        <v>1</v>
      </c>
      <c r="D13" s="854"/>
      <c r="F13" s="855"/>
      <c r="L13" s="34"/>
      <c r="M13" s="34"/>
      <c r="N13" s="34"/>
      <c r="O13" s="34"/>
      <c r="P13" s="34"/>
      <c r="Q13" s="34"/>
      <c r="R13" s="34"/>
    </row>
    <row r="14" spans="1:32" ht="11.45" customHeight="1">
      <c r="A14" s="856" t="s">
        <v>53</v>
      </c>
      <c r="B14" s="857"/>
      <c r="C14" s="858"/>
      <c r="D14" s="833"/>
      <c r="G14" s="847"/>
      <c r="H14" s="847"/>
      <c r="I14" s="847"/>
      <c r="L14" s="34"/>
      <c r="M14" s="34"/>
      <c r="N14" s="34"/>
      <c r="O14" s="34"/>
      <c r="P14" s="34"/>
      <c r="Q14" s="34"/>
      <c r="R14" s="34"/>
    </row>
    <row r="15" spans="1:32" ht="11.45" customHeight="1">
      <c r="A15" s="859" t="s">
        <v>54</v>
      </c>
      <c r="B15" s="860"/>
      <c r="C15" s="861">
        <f>VLOOKUP(C8,A21:F57,6)</f>
        <v>11404.057651367073</v>
      </c>
      <c r="D15" s="862"/>
      <c r="G15" s="847"/>
      <c r="H15" s="847"/>
      <c r="I15" s="847"/>
      <c r="L15" s="34"/>
      <c r="M15" s="34"/>
      <c r="N15" s="34"/>
      <c r="O15" s="34"/>
      <c r="P15" s="34"/>
      <c r="Q15" s="34"/>
      <c r="R15" s="34"/>
    </row>
    <row r="16" spans="1:32" ht="11.45" customHeight="1">
      <c r="A16" s="833"/>
      <c r="B16" s="841"/>
      <c r="C16" s="862"/>
      <c r="D16" s="862"/>
      <c r="F16" s="863"/>
      <c r="G16" s="863"/>
      <c r="H16" s="863"/>
      <c r="I16" s="863"/>
      <c r="J16" s="863"/>
      <c r="K16" s="863"/>
      <c r="L16" s="40"/>
      <c r="M16" s="40"/>
      <c r="N16" s="40"/>
      <c r="O16" s="40"/>
      <c r="P16" s="40"/>
      <c r="Q16" s="40"/>
      <c r="R16" s="40"/>
      <c r="S16" s="40"/>
      <c r="T16" s="40"/>
      <c r="U16" s="40"/>
      <c r="V16" s="40"/>
      <c r="W16" s="40"/>
      <c r="X16" s="40"/>
      <c r="Y16" s="40"/>
      <c r="Z16" s="40"/>
      <c r="AA16" s="40"/>
      <c r="AB16" s="40"/>
      <c r="AC16" s="40"/>
      <c r="AD16" s="40"/>
      <c r="AE16" s="40"/>
      <c r="AF16" s="40"/>
    </row>
    <row r="17" spans="1:18" ht="11.45" customHeight="1">
      <c r="A17" s="833"/>
      <c r="B17" s="841"/>
      <c r="C17" s="862"/>
      <c r="D17" s="862"/>
      <c r="G17" s="847"/>
      <c r="H17" s="847"/>
      <c r="I17" s="847"/>
      <c r="L17" s="34"/>
      <c r="M17" s="34"/>
      <c r="N17" s="34"/>
      <c r="O17" s="34"/>
      <c r="P17" s="34"/>
      <c r="Q17" s="34"/>
      <c r="R17" s="34"/>
    </row>
    <row r="18" spans="1:18" ht="22.5" customHeight="1">
      <c r="A18" s="864" t="s">
        <v>55</v>
      </c>
      <c r="B18" s="864" t="s">
        <v>68</v>
      </c>
      <c r="C18" s="864" t="s">
        <v>7</v>
      </c>
      <c r="D18" s="865" t="s">
        <v>381</v>
      </c>
      <c r="E18" s="864" t="s">
        <v>69</v>
      </c>
      <c r="F18" s="866" t="s">
        <v>70</v>
      </c>
      <c r="G18" s="847"/>
      <c r="H18" s="247"/>
      <c r="I18" s="247"/>
      <c r="L18" s="34"/>
      <c r="M18" s="34"/>
      <c r="N18" s="34"/>
      <c r="O18" s="34"/>
      <c r="P18" s="34"/>
      <c r="Q18" s="34"/>
      <c r="R18" s="34"/>
    </row>
    <row r="19" spans="1:18" ht="11.45" customHeight="1">
      <c r="A19" s="867"/>
      <c r="B19" s="868"/>
      <c r="C19" s="867"/>
      <c r="D19" s="867"/>
      <c r="E19" s="868"/>
      <c r="F19" s="869"/>
      <c r="G19" s="847"/>
      <c r="H19" s="247"/>
      <c r="I19" s="247"/>
      <c r="L19" s="34"/>
      <c r="M19" s="34"/>
      <c r="N19" s="34"/>
      <c r="O19" s="34"/>
      <c r="P19" s="34"/>
      <c r="Q19" s="34"/>
      <c r="R19" s="34"/>
    </row>
    <row r="20" spans="1:18" ht="12.75">
      <c r="A20" s="867"/>
      <c r="B20" s="868"/>
      <c r="C20" s="867"/>
      <c r="D20" s="867"/>
      <c r="E20" s="868"/>
      <c r="F20" s="869"/>
      <c r="H20" s="247"/>
      <c r="I20" s="247"/>
    </row>
    <row r="21" spans="1:18" ht="11.45" customHeight="1">
      <c r="A21" s="870">
        <v>0</v>
      </c>
      <c r="B21" s="871">
        <f>C21/$C$6</f>
        <v>0.21232581167423167</v>
      </c>
      <c r="C21" s="872">
        <v>29376.55</v>
      </c>
      <c r="D21" s="873">
        <f>D20+C21+E20</f>
        <v>29376.55</v>
      </c>
      <c r="E21" s="872">
        <v>704.26400000000001</v>
      </c>
      <c r="F21" s="874">
        <f t="shared" ref="F21:F57" si="0">IF(A21&lt;=$C$8,E21+F20,F20)</f>
        <v>704.26400000000001</v>
      </c>
      <c r="H21" s="247"/>
      <c r="I21" s="247"/>
    </row>
    <row r="22" spans="1:18" ht="11.45" customHeight="1">
      <c r="A22" s="870">
        <v>1</v>
      </c>
      <c r="B22" s="871">
        <f t="shared" ref="B22:B56" si="1">C22/$C$6</f>
        <v>0.3162161380785799</v>
      </c>
      <c r="C22" s="872">
        <v>43750.400000000001</v>
      </c>
      <c r="D22" s="873">
        <f t="shared" ref="D22:D57" si="2">D21+C22+E21</f>
        <v>73831.213999999993</v>
      </c>
      <c r="E22" s="872">
        <v>320.32400000000001</v>
      </c>
      <c r="F22" s="874">
        <f t="shared" si="0"/>
        <v>1024.588</v>
      </c>
      <c r="H22" s="247"/>
      <c r="I22" s="247"/>
    </row>
    <row r="23" spans="1:18" ht="11.45" customHeight="1">
      <c r="A23" s="870">
        <f t="shared" ref="A23:A57" si="3">A22+1</f>
        <v>2</v>
      </c>
      <c r="B23" s="871">
        <f t="shared" si="1"/>
        <v>2.2514744571973749E-2</v>
      </c>
      <c r="C23" s="872">
        <v>3115.05</v>
      </c>
      <c r="D23" s="873">
        <f t="shared" si="2"/>
        <v>77266.587999999989</v>
      </c>
      <c r="E23" s="872">
        <v>477.32400000000001</v>
      </c>
      <c r="F23" s="874">
        <f t="shared" si="0"/>
        <v>1501.912</v>
      </c>
      <c r="H23" s="247"/>
      <c r="I23" s="247"/>
    </row>
    <row r="24" spans="1:18" ht="11.45" customHeight="1">
      <c r="A24" s="870">
        <f t="shared" si="3"/>
        <v>3</v>
      </c>
      <c r="B24" s="871">
        <f t="shared" si="1"/>
        <v>0</v>
      </c>
      <c r="C24" s="872">
        <v>0</v>
      </c>
      <c r="D24" s="873">
        <f t="shared" si="2"/>
        <v>77743.911999999982</v>
      </c>
      <c r="E24" s="875">
        <f>IF(A24&gt;$C$8,0,((D23+(C24/2))*($C$9))+(($C$6-SUM($C$21:C24))*($C$11/12)))</f>
        <v>430.20505266666657</v>
      </c>
      <c r="F24" s="874">
        <f t="shared" si="0"/>
        <v>1932.1170526666665</v>
      </c>
      <c r="H24" s="247"/>
      <c r="I24" s="247"/>
    </row>
    <row r="25" spans="1:18" ht="11.45" customHeight="1">
      <c r="A25" s="870">
        <f t="shared" si="3"/>
        <v>4</v>
      </c>
      <c r="B25" s="871">
        <f t="shared" si="1"/>
        <v>2.2839558819277805E-2</v>
      </c>
      <c r="C25" s="872">
        <v>3159.99</v>
      </c>
      <c r="D25" s="873">
        <f t="shared" si="2"/>
        <v>81334.107052666659</v>
      </c>
      <c r="E25" s="875">
        <f>IF(A25&gt;$C$8,0,((D24+(C25/2))*($C$9))+(($C$6-SUM($C$21:C25))*($C$11/12)))</f>
        <v>440.25575691666654</v>
      </c>
      <c r="F25" s="874">
        <f t="shared" si="0"/>
        <v>2372.372809583333</v>
      </c>
      <c r="H25" s="247"/>
      <c r="I25" s="247"/>
    </row>
    <row r="26" spans="1:18" ht="11.45" customHeight="1">
      <c r="A26" s="870">
        <f t="shared" si="3"/>
        <v>5</v>
      </c>
      <c r="B26" s="871">
        <f t="shared" si="1"/>
        <v>2.5318078001676833E-2</v>
      </c>
      <c r="C26" s="872">
        <v>3502.9079999999999</v>
      </c>
      <c r="D26" s="873">
        <f t="shared" si="2"/>
        <v>85277.270809583322</v>
      </c>
      <c r="E26" s="875">
        <f>IF(A26&gt;$C$8,0,((D25+(C26/2))*($C$9))+(($C$6-SUM($C$21:C26))*($C$11/12)))</f>
        <v>459.29623036422214</v>
      </c>
      <c r="F26" s="874">
        <f t="shared" si="0"/>
        <v>2831.6690399475551</v>
      </c>
      <c r="H26" s="247"/>
      <c r="I26" s="247"/>
    </row>
    <row r="27" spans="1:18" ht="11.45" customHeight="1">
      <c r="A27" s="870">
        <f t="shared" si="3"/>
        <v>6</v>
      </c>
      <c r="B27" s="871">
        <f t="shared" si="1"/>
        <v>2.5468212437480122E-2</v>
      </c>
      <c r="C27" s="872">
        <v>3523.68</v>
      </c>
      <c r="D27" s="873">
        <f t="shared" si="2"/>
        <v>89260.247039947542</v>
      </c>
      <c r="E27" s="875">
        <f>IF(A27&gt;$C$8,0,((D26+(C27/2))*($C$9))+(($C$6-SUM($C$21:C27))*($C$11/12)))</f>
        <v>479.35408906777769</v>
      </c>
      <c r="F27" s="874">
        <f t="shared" si="0"/>
        <v>3311.0231290153329</v>
      </c>
      <c r="H27" s="247"/>
      <c r="I27" s="247"/>
    </row>
    <row r="28" spans="1:18" ht="11.45" customHeight="1">
      <c r="A28" s="870">
        <f t="shared" si="3"/>
        <v>7</v>
      </c>
      <c r="B28" s="871">
        <f t="shared" si="1"/>
        <v>8.6552083032177861E-4</v>
      </c>
      <c r="C28" s="872">
        <v>119.75</v>
      </c>
      <c r="D28" s="873">
        <f t="shared" si="2"/>
        <v>89859.351129015326</v>
      </c>
      <c r="E28" s="875">
        <f>IF(A28&gt;$C$8,0,((D27+(C28/2))*($C$9))+(($C$6-SUM($C$21:C28))*($C$11/12)))</f>
        <v>491.48455521305351</v>
      </c>
      <c r="F28" s="874">
        <f t="shared" si="0"/>
        <v>3802.5076842283866</v>
      </c>
      <c r="H28" s="247"/>
      <c r="I28" s="247"/>
    </row>
    <row r="29" spans="1:18" ht="11.45" customHeight="1">
      <c r="A29" s="870">
        <f t="shared" si="3"/>
        <v>8</v>
      </c>
      <c r="B29" s="871">
        <f t="shared" si="1"/>
        <v>3.8304677787735983E-2</v>
      </c>
      <c r="C29" s="872">
        <v>5299.6819999999998</v>
      </c>
      <c r="D29" s="873">
        <f t="shared" si="2"/>
        <v>95650.517684228384</v>
      </c>
      <c r="E29" s="875">
        <f>IF(A29&gt;$C$8,0,((D28+(C29/2))*($C$9))+(($C$6-SUM($C$21:C29))*($C$11/12)))</f>
        <v>506.9471884380817</v>
      </c>
      <c r="F29" s="874">
        <f t="shared" si="0"/>
        <v>4309.454872666468</v>
      </c>
      <c r="H29" s="247"/>
      <c r="I29" s="247"/>
    </row>
    <row r="30" spans="1:18" ht="11.45" customHeight="1">
      <c r="A30" s="870">
        <f t="shared" si="3"/>
        <v>9</v>
      </c>
      <c r="B30" s="871">
        <f t="shared" si="1"/>
        <v>2.4933382000057822E-2</v>
      </c>
      <c r="C30" s="872">
        <v>3449.683</v>
      </c>
      <c r="D30" s="873">
        <f t="shared" si="2"/>
        <v>99607.147872666465</v>
      </c>
      <c r="E30" s="875">
        <f>IF(A30&gt;$C$8,0,((D29+(C30/2))*($C$9))+(($C$6-SUM($C$21:C30))*($C$11/12)))</f>
        <v>531.89392185755128</v>
      </c>
      <c r="F30" s="874">
        <f t="shared" si="0"/>
        <v>4841.3487945240195</v>
      </c>
      <c r="H30" s="247"/>
      <c r="I30" s="247"/>
    </row>
    <row r="31" spans="1:18" ht="11.45" customHeight="1">
      <c r="A31" s="870">
        <f t="shared" si="3"/>
        <v>10</v>
      </c>
      <c r="B31" s="871">
        <f t="shared" si="1"/>
        <v>1.0767028535083408E-2</v>
      </c>
      <c r="C31" s="872">
        <v>1489.683</v>
      </c>
      <c r="D31" s="873">
        <f t="shared" si="2"/>
        <v>101628.72479452402</v>
      </c>
      <c r="E31" s="875">
        <f>IF(A31&gt;$C$8,0,((D30+(C31/2))*($C$9))+(($C$6-SUM($C$21:C31))*($C$11/12)))</f>
        <v>547.33479198755447</v>
      </c>
      <c r="F31" s="874">
        <f t="shared" si="0"/>
        <v>5388.6835865115736</v>
      </c>
      <c r="H31" s="247"/>
      <c r="I31" s="247"/>
    </row>
    <row r="32" spans="1:18" ht="11.45" customHeight="1">
      <c r="A32" s="870">
        <f t="shared" si="3"/>
        <v>11</v>
      </c>
      <c r="B32" s="871">
        <f t="shared" si="1"/>
        <v>2.1996212668767529E-2</v>
      </c>
      <c r="C32" s="872">
        <v>3043.308</v>
      </c>
      <c r="D32" s="873">
        <f t="shared" si="2"/>
        <v>105219.36758651158</v>
      </c>
      <c r="E32" s="875">
        <f>IF(A32&gt;$C$8,0,((D31+(C32/2))*($C$9))+(($C$6-SUM($C$21:C32))*($C$11/12)))</f>
        <v>561.37190407079481</v>
      </c>
      <c r="F32" s="874">
        <f t="shared" si="0"/>
        <v>5950.0554905823683</v>
      </c>
      <c r="H32" s="247"/>
      <c r="I32" s="247"/>
    </row>
    <row r="33" spans="1:18" ht="11.45" customHeight="1">
      <c r="A33" s="870">
        <f t="shared" si="3"/>
        <v>12</v>
      </c>
      <c r="B33" s="871">
        <f t="shared" si="1"/>
        <v>3.1582099800514615E-2</v>
      </c>
      <c r="C33" s="872">
        <v>4369.5730000000003</v>
      </c>
      <c r="D33" s="873">
        <f t="shared" si="2"/>
        <v>110150.31249058238</v>
      </c>
      <c r="E33" s="875">
        <f>IF(A33&gt;$C$8,0,((D32+(C33/2))*($C$9))+(($C$6-SUM($C$21:C33))*($C$11/12)))</f>
        <v>582.78424683639514</v>
      </c>
      <c r="F33" s="874">
        <f t="shared" si="0"/>
        <v>6532.8397374187634</v>
      </c>
      <c r="H33" s="247"/>
      <c r="I33" s="247"/>
    </row>
    <row r="34" spans="1:18" ht="11.45" customHeight="1">
      <c r="A34" s="870">
        <f t="shared" si="3"/>
        <v>13</v>
      </c>
      <c r="B34" s="871">
        <f t="shared" si="1"/>
        <v>4.0268221110757757E-2</v>
      </c>
      <c r="C34" s="872">
        <v>5571.35</v>
      </c>
      <c r="D34" s="873">
        <f t="shared" si="2"/>
        <v>116304.44673741878</v>
      </c>
      <c r="E34" s="875">
        <f>IF(A34&gt;$C$8,0,((D33+(C34/2))*($C$9))+(($C$6-SUM($C$21:C34))*($C$11/12)))</f>
        <v>610.66238124143933</v>
      </c>
      <c r="F34" s="874">
        <f t="shared" si="0"/>
        <v>7143.5021186602025</v>
      </c>
      <c r="H34" s="247"/>
      <c r="I34" s="247"/>
    </row>
    <row r="35" spans="1:18" ht="11.45" customHeight="1">
      <c r="A35" s="870">
        <f t="shared" si="3"/>
        <v>14</v>
      </c>
      <c r="B35" s="871">
        <f t="shared" si="1"/>
        <v>3.7810785220734916E-2</v>
      </c>
      <c r="C35" s="872">
        <v>5231.3490000000002</v>
      </c>
      <c r="D35" s="873">
        <f t="shared" si="2"/>
        <v>122146.45811866022</v>
      </c>
      <c r="E35" s="875">
        <f>IF(A35&gt;$C$8,0,((D34+(C35/2))*($C$9))+(($C$6-SUM($C$21:C35))*($C$11/12)))</f>
        <v>641.05195109956674</v>
      </c>
      <c r="F35" s="874">
        <f t="shared" si="0"/>
        <v>7784.5540697597689</v>
      </c>
      <c r="H35" s="247"/>
      <c r="I35" s="247"/>
    </row>
    <row r="36" spans="1:18" ht="11.45" customHeight="1">
      <c r="A36" s="870">
        <f t="shared" si="3"/>
        <v>15</v>
      </c>
      <c r="B36" s="871">
        <f t="shared" si="1"/>
        <v>3.4985913151579985E-2</v>
      </c>
      <c r="C36" s="872">
        <v>4840.5110000000004</v>
      </c>
      <c r="D36" s="873">
        <f t="shared" si="2"/>
        <v>127628.02106975978</v>
      </c>
      <c r="E36" s="875">
        <f>IF(A36&gt;$C$8,0,((D35+(C36/2))*($C$9))+(($C$6-SUM($C$21:C36))*($C$11/12)))</f>
        <v>669.75529475785436</v>
      </c>
      <c r="F36" s="874">
        <f t="shared" si="0"/>
        <v>8454.3093645176232</v>
      </c>
      <c r="H36" s="247"/>
      <c r="I36" s="247"/>
    </row>
    <row r="37" spans="1:18" ht="11.45" customHeight="1">
      <c r="A37" s="870">
        <f t="shared" si="3"/>
        <v>16</v>
      </c>
      <c r="B37" s="871">
        <f t="shared" si="1"/>
        <v>3.2017129723322442E-2</v>
      </c>
      <c r="C37" s="872">
        <v>4429.7619999999997</v>
      </c>
      <c r="D37" s="873">
        <f t="shared" si="2"/>
        <v>132727.53836451765</v>
      </c>
      <c r="E37" s="875">
        <f>IF(A37&gt;$C$8,0,((D36+(C37/2))*($C$9))+(($C$6-SUM($C$21:C37))*($C$11/12)))</f>
        <v>696.60295258038536</v>
      </c>
      <c r="F37" s="874">
        <f t="shared" si="0"/>
        <v>9150.9123170980092</v>
      </c>
      <c r="H37" s="247"/>
      <c r="I37" s="247"/>
    </row>
    <row r="38" spans="1:18" ht="11.45" customHeight="1">
      <c r="A38" s="870">
        <f t="shared" si="3"/>
        <v>17</v>
      </c>
      <c r="B38" s="871">
        <f t="shared" si="1"/>
        <v>2.9848810315418195E-2</v>
      </c>
      <c r="C38" s="872">
        <v>4129.7619999999997</v>
      </c>
      <c r="D38" s="873">
        <f t="shared" si="2"/>
        <v>137553.90331709801</v>
      </c>
      <c r="E38" s="875">
        <f>IF(A38&gt;$C$8,0,((D37+(C38/2))*($C$9))+(($C$6-SUM($C$21:C38))*($C$11/12)))</f>
        <v>721.79586423576075</v>
      </c>
      <c r="F38" s="874">
        <f t="shared" si="0"/>
        <v>9872.70818133377</v>
      </c>
      <c r="H38" s="247"/>
      <c r="I38" s="247"/>
    </row>
    <row r="39" spans="1:18" ht="11.45" customHeight="1">
      <c r="A39" s="870">
        <f t="shared" si="3"/>
        <v>18</v>
      </c>
      <c r="B39" s="871">
        <f t="shared" si="1"/>
        <v>3.0103479429876553E-2</v>
      </c>
      <c r="C39" s="872">
        <v>4164.9970000000003</v>
      </c>
      <c r="D39" s="873">
        <f t="shared" si="2"/>
        <v>142440.69618133377</v>
      </c>
      <c r="E39" s="875">
        <f>IF(A39&gt;$C$8,0,((D38+(C39/2))*($C$9))+(($C$6-SUM($C$21:C39))*($C$11/12)))</f>
        <v>746.41564652452257</v>
      </c>
      <c r="F39" s="874">
        <f t="shared" si="0"/>
        <v>10619.123827858293</v>
      </c>
      <c r="H39" s="247"/>
      <c r="I39" s="247"/>
    </row>
    <row r="40" spans="1:18" ht="11.45" customHeight="1">
      <c r="A40" s="870">
        <f t="shared" si="3"/>
        <v>19</v>
      </c>
      <c r="B40" s="871">
        <f t="shared" si="1"/>
        <v>7.1705000144554623E-2</v>
      </c>
      <c r="C40" s="872">
        <v>9920.8169999999991</v>
      </c>
      <c r="D40" s="873">
        <f t="shared" si="2"/>
        <v>153107.9288278583</v>
      </c>
      <c r="E40" s="875">
        <f>IF(A40&gt;$C$8,0,((D39+(C40/2))*($C$9))+(($C$6-SUM($C$21:C40))*($C$11/12)))</f>
        <v>784.93382350878005</v>
      </c>
      <c r="F40" s="874">
        <f t="shared" si="0"/>
        <v>11404.057651367073</v>
      </c>
      <c r="H40" s="247"/>
      <c r="I40" s="247"/>
    </row>
    <row r="41" spans="1:18" ht="11.45" customHeight="1">
      <c r="A41" s="870">
        <f t="shared" si="3"/>
        <v>20</v>
      </c>
      <c r="B41" s="871">
        <f t="shared" si="1"/>
        <v>0</v>
      </c>
      <c r="C41" s="872">
        <v>0</v>
      </c>
      <c r="D41" s="873">
        <f t="shared" si="2"/>
        <v>153892.86265136709</v>
      </c>
      <c r="E41" s="875">
        <f>IF(A41&gt;$C$8,0,((D40+(C41/2))*($C$9))+(($C$6-SUM($C$21:C41))*($C$11/12)))</f>
        <v>0</v>
      </c>
      <c r="F41" s="874">
        <f t="shared" si="0"/>
        <v>11404.057651367073</v>
      </c>
      <c r="H41" s="247"/>
      <c r="I41" s="247"/>
    </row>
    <row r="42" spans="1:18" ht="11.45" customHeight="1">
      <c r="A42" s="870">
        <f t="shared" si="3"/>
        <v>21</v>
      </c>
      <c r="B42" s="871">
        <f t="shared" si="1"/>
        <v>0</v>
      </c>
      <c r="C42" s="872">
        <v>0</v>
      </c>
      <c r="D42" s="873">
        <f t="shared" si="2"/>
        <v>153892.86265136709</v>
      </c>
      <c r="E42" s="875">
        <f>IF(A42&gt;$C$8,0,((D41+(C42/2))*($C$9))+(($C$6-SUM($C$21:C42))*($C$11/12)))</f>
        <v>0</v>
      </c>
      <c r="F42" s="874">
        <f t="shared" si="0"/>
        <v>11404.057651367073</v>
      </c>
      <c r="H42" s="247"/>
      <c r="I42" s="247"/>
    </row>
    <row r="43" spans="1:18" ht="11.45" customHeight="1">
      <c r="A43" s="870">
        <f t="shared" si="3"/>
        <v>22</v>
      </c>
      <c r="B43" s="871">
        <f t="shared" si="1"/>
        <v>0</v>
      </c>
      <c r="C43" s="872">
        <v>0</v>
      </c>
      <c r="D43" s="873">
        <f t="shared" si="2"/>
        <v>153892.86265136709</v>
      </c>
      <c r="E43" s="875">
        <f>IF(A43&gt;$C$8,0,((D42+(C43/2))*($C$9))+(($C$6-SUM($C$21:C43))*($C$11/12)))</f>
        <v>0</v>
      </c>
      <c r="F43" s="874">
        <f t="shared" si="0"/>
        <v>11404.057651367073</v>
      </c>
      <c r="G43" s="247"/>
      <c r="H43" s="247"/>
      <c r="I43" s="247"/>
      <c r="L43" s="34"/>
      <c r="M43" s="34"/>
      <c r="N43" s="34"/>
      <c r="O43" s="34"/>
      <c r="P43" s="34"/>
      <c r="Q43" s="34"/>
      <c r="R43" s="34"/>
    </row>
    <row r="44" spans="1:18" ht="11.45" customHeight="1">
      <c r="A44" s="870">
        <f t="shared" si="3"/>
        <v>23</v>
      </c>
      <c r="B44" s="871">
        <f t="shared" si="1"/>
        <v>0</v>
      </c>
      <c r="C44" s="872">
        <v>0</v>
      </c>
      <c r="D44" s="873">
        <f t="shared" si="2"/>
        <v>153892.86265136709</v>
      </c>
      <c r="E44" s="875">
        <f>IF(A44&gt;$C$8,0,((D43+(C44/2))*($C$9))+(($C$6-SUM($C$21:C44))*($C$11/12)))</f>
        <v>0</v>
      </c>
      <c r="F44" s="874">
        <f t="shared" si="0"/>
        <v>11404.057651367073</v>
      </c>
      <c r="G44" s="247"/>
      <c r="H44" s="247"/>
      <c r="I44" s="247"/>
      <c r="L44" s="34"/>
      <c r="M44" s="34"/>
      <c r="N44" s="34"/>
      <c r="O44" s="34"/>
      <c r="P44" s="34"/>
      <c r="Q44" s="34"/>
      <c r="R44" s="34"/>
    </row>
    <row r="45" spans="1:18" ht="11.45" customHeight="1">
      <c r="A45" s="870">
        <f t="shared" si="3"/>
        <v>24</v>
      </c>
      <c r="B45" s="871">
        <f t="shared" si="1"/>
        <v>0</v>
      </c>
      <c r="C45" s="872">
        <v>0</v>
      </c>
      <c r="D45" s="873">
        <f t="shared" si="2"/>
        <v>153892.86265136709</v>
      </c>
      <c r="E45" s="875">
        <f>IF(A45&gt;$C$8,0,((D44+(C45/2))*($C$9))+(($C$6-SUM($C$21:C45))*($C$11/12)))</f>
        <v>0</v>
      </c>
      <c r="F45" s="874">
        <f t="shared" si="0"/>
        <v>11404.057651367073</v>
      </c>
      <c r="G45" s="247"/>
      <c r="H45" s="247"/>
      <c r="I45" s="247"/>
      <c r="L45" s="34"/>
      <c r="M45" s="34"/>
      <c r="N45" s="34"/>
      <c r="O45" s="34"/>
      <c r="P45" s="34"/>
      <c r="Q45" s="34"/>
      <c r="R45" s="34"/>
    </row>
    <row r="46" spans="1:18" ht="11.45" customHeight="1">
      <c r="A46" s="870">
        <f t="shared" si="3"/>
        <v>25</v>
      </c>
      <c r="B46" s="871">
        <f t="shared" si="1"/>
        <v>0</v>
      </c>
      <c r="C46" s="872">
        <v>0</v>
      </c>
      <c r="D46" s="873">
        <f t="shared" si="2"/>
        <v>153892.86265136709</v>
      </c>
      <c r="E46" s="875">
        <f>IF(A46&gt;$C$8,0,((D45+(C46/2))*($C$9))+(($C$6-SUM($C$21:C46))*($C$11/12)))</f>
        <v>0</v>
      </c>
      <c r="F46" s="874">
        <f t="shared" si="0"/>
        <v>11404.057651367073</v>
      </c>
      <c r="G46" s="247"/>
      <c r="H46" s="247"/>
      <c r="I46" s="247"/>
      <c r="L46" s="34"/>
      <c r="M46" s="34"/>
      <c r="N46" s="34"/>
      <c r="O46" s="34"/>
      <c r="P46" s="34"/>
      <c r="Q46" s="34"/>
      <c r="R46" s="34"/>
    </row>
    <row r="47" spans="1:18" ht="11.45" customHeight="1">
      <c r="A47" s="870">
        <f t="shared" si="3"/>
        <v>26</v>
      </c>
      <c r="B47" s="871">
        <f t="shared" si="1"/>
        <v>0</v>
      </c>
      <c r="C47" s="872">
        <v>0</v>
      </c>
      <c r="D47" s="873">
        <f t="shared" si="2"/>
        <v>153892.86265136709</v>
      </c>
      <c r="E47" s="875">
        <f>IF(A47&gt;$C$8,0,((D46+(C47/2))*($C$9))+(($C$6-SUM($C$21:C47))*($C$11/12)))</f>
        <v>0</v>
      </c>
      <c r="F47" s="874">
        <f t="shared" si="0"/>
        <v>11404.057651367073</v>
      </c>
      <c r="G47" s="247"/>
      <c r="H47" s="247"/>
      <c r="I47" s="247"/>
      <c r="L47" s="34"/>
      <c r="M47" s="34"/>
      <c r="N47" s="34"/>
      <c r="O47" s="34"/>
      <c r="P47" s="34"/>
      <c r="Q47" s="34"/>
      <c r="R47" s="34"/>
    </row>
    <row r="48" spans="1:18" ht="11.45" customHeight="1">
      <c r="A48" s="870">
        <f t="shared" si="3"/>
        <v>27</v>
      </c>
      <c r="B48" s="871">
        <f t="shared" si="1"/>
        <v>0</v>
      </c>
      <c r="C48" s="872">
        <v>0</v>
      </c>
      <c r="D48" s="873">
        <f t="shared" si="2"/>
        <v>153892.86265136709</v>
      </c>
      <c r="E48" s="875">
        <f>IF(A48&gt;$C$8,0,((D47+(C48/2))*($C$9))+(($C$6-SUM($C$21:C48))*($C$11/12)))</f>
        <v>0</v>
      </c>
      <c r="F48" s="874">
        <f t="shared" si="0"/>
        <v>11404.057651367073</v>
      </c>
      <c r="G48" s="247"/>
      <c r="H48" s="247"/>
      <c r="I48" s="247"/>
      <c r="L48" s="34"/>
      <c r="M48" s="34"/>
      <c r="N48" s="34"/>
      <c r="O48" s="34"/>
      <c r="P48" s="34"/>
      <c r="Q48" s="34"/>
      <c r="R48" s="34"/>
    </row>
    <row r="49" spans="1:18" ht="11.45" customHeight="1">
      <c r="A49" s="870">
        <f t="shared" si="3"/>
        <v>28</v>
      </c>
      <c r="B49" s="871">
        <f t="shared" si="1"/>
        <v>0</v>
      </c>
      <c r="C49" s="872">
        <v>0</v>
      </c>
      <c r="D49" s="873">
        <f t="shared" si="2"/>
        <v>153892.86265136709</v>
      </c>
      <c r="E49" s="875">
        <f>IF(A49&gt;$C$8,0,((D48+(C49/2))*($C$9))+(($C$6-SUM($C$21:C49))*($C$11/12)))</f>
        <v>0</v>
      </c>
      <c r="F49" s="874">
        <f t="shared" si="0"/>
        <v>11404.057651367073</v>
      </c>
      <c r="G49" s="247"/>
      <c r="H49" s="247"/>
      <c r="I49" s="247"/>
      <c r="L49" s="34"/>
      <c r="M49" s="34"/>
      <c r="N49" s="34"/>
      <c r="O49" s="34"/>
      <c r="P49" s="34"/>
      <c r="Q49" s="34"/>
      <c r="R49" s="34"/>
    </row>
    <row r="50" spans="1:18" ht="11.45" customHeight="1">
      <c r="A50" s="870">
        <f t="shared" si="3"/>
        <v>29</v>
      </c>
      <c r="B50" s="871">
        <f t="shared" si="1"/>
        <v>0</v>
      </c>
      <c r="C50" s="872">
        <v>0</v>
      </c>
      <c r="D50" s="873">
        <f t="shared" si="2"/>
        <v>153892.86265136709</v>
      </c>
      <c r="E50" s="875">
        <f>IF(A50&gt;$C$8,0,((D49+(C50/2))*($C$9))+(($C$6-SUM($C$21:C50))*($C$11/12)))</f>
        <v>0</v>
      </c>
      <c r="F50" s="874">
        <f t="shared" si="0"/>
        <v>11404.057651367073</v>
      </c>
      <c r="G50" s="247"/>
      <c r="H50" s="247"/>
      <c r="I50" s="247"/>
      <c r="L50" s="34"/>
      <c r="M50" s="34"/>
      <c r="N50" s="34"/>
      <c r="O50" s="34"/>
      <c r="P50" s="34"/>
      <c r="Q50" s="34"/>
      <c r="R50" s="34"/>
    </row>
    <row r="51" spans="1:18" ht="11.45" customHeight="1">
      <c r="A51" s="870">
        <f t="shared" si="3"/>
        <v>30</v>
      </c>
      <c r="B51" s="871">
        <f t="shared" si="1"/>
        <v>0</v>
      </c>
      <c r="C51" s="872">
        <v>0</v>
      </c>
      <c r="D51" s="873">
        <f t="shared" si="2"/>
        <v>153892.86265136709</v>
      </c>
      <c r="E51" s="875">
        <f>IF(A51&gt;$C$8,0,((D50+(C51/2))*($C$9))+(($C$6-SUM($C$21:C51))*($C$11/12)))</f>
        <v>0</v>
      </c>
      <c r="F51" s="874">
        <f t="shared" si="0"/>
        <v>11404.057651367073</v>
      </c>
      <c r="G51" s="247"/>
      <c r="H51" s="247"/>
      <c r="I51" s="247"/>
      <c r="L51" s="34"/>
      <c r="M51" s="34"/>
      <c r="N51" s="34"/>
      <c r="O51" s="34"/>
      <c r="P51" s="34"/>
      <c r="Q51" s="34"/>
      <c r="R51" s="34"/>
    </row>
    <row r="52" spans="1:18" ht="11.45" customHeight="1">
      <c r="A52" s="870">
        <f t="shared" si="3"/>
        <v>31</v>
      </c>
      <c r="B52" s="871">
        <f t="shared" si="1"/>
        <v>0</v>
      </c>
      <c r="C52" s="872">
        <v>0</v>
      </c>
      <c r="D52" s="873">
        <f t="shared" si="2"/>
        <v>153892.86265136709</v>
      </c>
      <c r="E52" s="875">
        <f>IF(A52&gt;$C$8,0,((D51+(C52/2))*($C$9))+(($C$6-SUM($C$21:C52))*($C$11/12)))</f>
        <v>0</v>
      </c>
      <c r="F52" s="874">
        <f t="shared" si="0"/>
        <v>11404.057651367073</v>
      </c>
      <c r="G52" s="247"/>
      <c r="H52" s="247"/>
      <c r="I52" s="247"/>
      <c r="L52" s="34"/>
      <c r="M52" s="34"/>
      <c r="N52" s="34"/>
      <c r="O52" s="34"/>
      <c r="P52" s="34"/>
      <c r="Q52" s="34"/>
      <c r="R52" s="34"/>
    </row>
    <row r="53" spans="1:18" ht="11.45" customHeight="1">
      <c r="A53" s="870">
        <f t="shared" si="3"/>
        <v>32</v>
      </c>
      <c r="B53" s="871">
        <f t="shared" si="1"/>
        <v>0</v>
      </c>
      <c r="C53" s="872">
        <v>0</v>
      </c>
      <c r="D53" s="873">
        <f t="shared" si="2"/>
        <v>153892.86265136709</v>
      </c>
      <c r="E53" s="875">
        <f>IF(A53&gt;$C$8,0,((D52+(C53/2))*($C$9))+(($C$6-SUM($C$21:C53))*($C$11/12)))</f>
        <v>0</v>
      </c>
      <c r="F53" s="874">
        <f t="shared" si="0"/>
        <v>11404.057651367073</v>
      </c>
      <c r="G53" s="247"/>
      <c r="H53" s="247"/>
      <c r="I53" s="247"/>
      <c r="L53" s="34"/>
      <c r="M53" s="34"/>
      <c r="N53" s="34"/>
      <c r="O53" s="34"/>
      <c r="P53" s="34"/>
      <c r="Q53" s="34"/>
      <c r="R53" s="34"/>
    </row>
    <row r="54" spans="1:18" ht="11.45" customHeight="1">
      <c r="A54" s="870">
        <f t="shared" si="3"/>
        <v>33</v>
      </c>
      <c r="B54" s="871">
        <f t="shared" si="1"/>
        <v>0</v>
      </c>
      <c r="C54" s="872">
        <v>0</v>
      </c>
      <c r="D54" s="873">
        <f t="shared" si="2"/>
        <v>153892.86265136709</v>
      </c>
      <c r="E54" s="875">
        <f>IF(A54&gt;$C$8,0,((D53+(C54/2))*($C$9))+(($C$6-SUM($C$21:C54))*($C$11/12)))</f>
        <v>0</v>
      </c>
      <c r="F54" s="874">
        <f t="shared" si="0"/>
        <v>11404.057651367073</v>
      </c>
      <c r="G54" s="247"/>
      <c r="H54" s="247"/>
      <c r="I54" s="247"/>
      <c r="L54" s="34"/>
      <c r="M54" s="34"/>
      <c r="N54" s="34"/>
      <c r="O54" s="34"/>
      <c r="P54" s="34"/>
      <c r="Q54" s="34"/>
      <c r="R54" s="34"/>
    </row>
    <row r="55" spans="1:18" ht="11.45" customHeight="1">
      <c r="A55" s="870">
        <f t="shared" si="3"/>
        <v>34</v>
      </c>
      <c r="B55" s="871">
        <f t="shared" si="1"/>
        <v>0</v>
      </c>
      <c r="C55" s="872">
        <v>0</v>
      </c>
      <c r="D55" s="873">
        <f t="shared" si="2"/>
        <v>153892.86265136709</v>
      </c>
      <c r="E55" s="875">
        <f>IF(A55&gt;$C$8,0,((D54+(C55/2))*($C$9))+(($C$6-SUM($C$21:C55))*($C$11/12)))</f>
        <v>0</v>
      </c>
      <c r="F55" s="874">
        <f t="shared" si="0"/>
        <v>11404.057651367073</v>
      </c>
      <c r="G55" s="247"/>
      <c r="H55" s="247"/>
      <c r="I55" s="247"/>
      <c r="L55" s="34"/>
      <c r="M55" s="34"/>
      <c r="N55" s="34"/>
      <c r="O55" s="34"/>
      <c r="P55" s="34"/>
      <c r="Q55" s="34"/>
      <c r="R55" s="34"/>
    </row>
    <row r="56" spans="1:18" ht="11.45" customHeight="1">
      <c r="A56" s="870">
        <f t="shared" si="3"/>
        <v>35</v>
      </c>
      <c r="B56" s="871">
        <f t="shared" si="1"/>
        <v>0</v>
      </c>
      <c r="C56" s="872">
        <v>0</v>
      </c>
      <c r="D56" s="873">
        <f t="shared" si="2"/>
        <v>153892.86265136709</v>
      </c>
      <c r="E56" s="875">
        <f>IF(A56&gt;$C$8,0,((D55+(C56/2))*($C$9))+(($C$6-SUM($C$21:C56))*($C$11/12)))</f>
        <v>0</v>
      </c>
      <c r="F56" s="874">
        <f t="shared" si="0"/>
        <v>11404.057651367073</v>
      </c>
      <c r="G56" s="247"/>
      <c r="H56" s="247"/>
      <c r="I56" s="247"/>
      <c r="L56" s="34"/>
      <c r="M56" s="34"/>
      <c r="N56" s="34"/>
      <c r="O56" s="34"/>
      <c r="P56" s="34"/>
      <c r="Q56" s="34"/>
      <c r="R56" s="34"/>
    </row>
    <row r="57" spans="1:18" ht="11.45" customHeight="1">
      <c r="A57" s="876">
        <f t="shared" si="3"/>
        <v>36</v>
      </c>
      <c r="B57" s="877">
        <f>IF($C$13=1,I57,H57)</f>
        <v>0</v>
      </c>
      <c r="C57" s="878">
        <v>0</v>
      </c>
      <c r="D57" s="879">
        <f t="shared" si="2"/>
        <v>153892.86265136709</v>
      </c>
      <c r="E57" s="880">
        <f>IF(A57&gt;$C$8,0,((D56+(C57))*($C$9))+(($C$6-SUM($C$21:C57))*($C$11/12)))</f>
        <v>0</v>
      </c>
      <c r="F57" s="881">
        <f t="shared" si="0"/>
        <v>11404.057651367073</v>
      </c>
      <c r="G57" s="247"/>
      <c r="H57" s="247"/>
      <c r="I57" s="247"/>
      <c r="L57" s="34"/>
      <c r="M57" s="34"/>
      <c r="N57" s="34"/>
      <c r="O57" s="34"/>
      <c r="P57" s="34"/>
      <c r="Q57" s="34"/>
      <c r="R57" s="34"/>
    </row>
    <row r="58" spans="1:18" ht="12.75">
      <c r="A58" s="247"/>
      <c r="B58" s="882">
        <f>SUM(B21:B57)</f>
        <v>1.0298708043019456</v>
      </c>
      <c r="C58" s="418">
        <f>SUM(C21:C57)</f>
        <v>142488.80500000002</v>
      </c>
      <c r="D58" s="247"/>
      <c r="E58" s="247"/>
      <c r="F58" s="247"/>
      <c r="G58" s="247"/>
      <c r="H58" s="247"/>
      <c r="I58" s="247"/>
      <c r="L58" s="34"/>
      <c r="M58" s="34"/>
      <c r="N58" s="34"/>
      <c r="O58" s="34"/>
      <c r="P58" s="34"/>
      <c r="Q58" s="34"/>
      <c r="R58" s="34"/>
    </row>
    <row r="59" spans="1:18" ht="12.75">
      <c r="A59" s="247"/>
      <c r="B59" s="247"/>
      <c r="C59" s="247"/>
      <c r="D59" s="247"/>
      <c r="E59" s="247"/>
      <c r="F59" s="247"/>
      <c r="G59" s="247"/>
      <c r="H59" s="247"/>
      <c r="I59" s="247"/>
      <c r="L59" s="34"/>
      <c r="M59" s="34"/>
      <c r="N59" s="34"/>
      <c r="O59" s="34"/>
      <c r="P59" s="34"/>
      <c r="Q59" s="34"/>
      <c r="R59" s="34"/>
    </row>
    <row r="60" spans="1:18" ht="12.75">
      <c r="A60" s="247"/>
      <c r="B60" s="247"/>
      <c r="C60" s="247"/>
      <c r="D60" s="247"/>
      <c r="E60" s="247"/>
      <c r="F60" s="247"/>
      <c r="G60" s="247"/>
      <c r="H60" s="247"/>
      <c r="I60" s="247"/>
      <c r="L60" s="34"/>
      <c r="M60" s="34"/>
      <c r="N60" s="34"/>
      <c r="O60" s="34"/>
      <c r="P60" s="34"/>
      <c r="Q60" s="34"/>
      <c r="R60" s="34"/>
    </row>
    <row r="61" spans="1:18" ht="12.75">
      <c r="A61" s="247"/>
      <c r="B61" s="247"/>
      <c r="C61" s="247"/>
      <c r="D61" s="247"/>
      <c r="E61" s="247"/>
      <c r="F61" s="247"/>
      <c r="G61" s="247"/>
      <c r="H61" s="247"/>
      <c r="I61" s="247"/>
      <c r="L61" s="34"/>
      <c r="M61" s="34"/>
      <c r="N61" s="34"/>
      <c r="O61" s="34"/>
      <c r="P61" s="34"/>
      <c r="Q61" s="34"/>
      <c r="R61" s="34"/>
    </row>
    <row r="62" spans="1:18" ht="12.75">
      <c r="A62" s="247"/>
      <c r="B62" s="247"/>
      <c r="C62" s="247"/>
      <c r="D62" s="247"/>
      <c r="E62" s="247"/>
      <c r="F62" s="247"/>
      <c r="G62" s="247"/>
      <c r="H62" s="247"/>
      <c r="I62" s="247"/>
      <c r="L62" s="34"/>
      <c r="M62" s="34"/>
      <c r="N62" s="34"/>
      <c r="O62" s="34"/>
      <c r="P62" s="34"/>
      <c r="Q62" s="34"/>
      <c r="R62" s="34"/>
    </row>
    <row r="63" spans="1:18" ht="12.75">
      <c r="A63" s="247"/>
      <c r="B63" s="247"/>
      <c r="C63" s="247"/>
      <c r="D63" s="247"/>
      <c r="E63" s="247"/>
      <c r="F63" s="247"/>
      <c r="G63" s="247"/>
      <c r="H63" s="247"/>
      <c r="I63" s="247"/>
      <c r="L63" s="34"/>
      <c r="M63" s="34"/>
      <c r="N63" s="34"/>
      <c r="O63" s="34"/>
      <c r="P63" s="34"/>
      <c r="Q63" s="34"/>
      <c r="R63" s="34"/>
    </row>
    <row r="64" spans="1:18" ht="12.75">
      <c r="H64" s="247"/>
      <c r="I64" s="247"/>
      <c r="L64" s="34"/>
      <c r="M64" s="34"/>
      <c r="N64" s="34"/>
      <c r="O64" s="34"/>
      <c r="P64" s="34"/>
      <c r="Q64" s="34"/>
      <c r="R64" s="34"/>
    </row>
    <row r="65" spans="1:31" ht="12.75">
      <c r="H65" s="247"/>
      <c r="I65" s="247"/>
      <c r="L65" s="34"/>
      <c r="M65" s="34"/>
      <c r="N65" s="34"/>
      <c r="O65" s="34"/>
      <c r="P65" s="34"/>
      <c r="Q65" s="34"/>
      <c r="R65" s="34"/>
    </row>
    <row r="66" spans="1:31" ht="12.75">
      <c r="H66" s="247"/>
      <c r="I66" s="247"/>
      <c r="L66" s="34"/>
      <c r="M66" s="34"/>
      <c r="N66" s="34"/>
      <c r="O66" s="34"/>
      <c r="P66" s="34"/>
      <c r="Q66" s="34"/>
      <c r="R66" s="34"/>
    </row>
    <row r="67" spans="1:31" ht="12.75">
      <c r="A67" s="833"/>
      <c r="B67" s="833"/>
      <c r="C67" s="883"/>
      <c r="D67" s="883"/>
      <c r="E67" s="883"/>
      <c r="F67" s="883"/>
      <c r="G67" s="883"/>
      <c r="H67" s="247"/>
      <c r="I67" s="247"/>
      <c r="J67" s="883"/>
      <c r="K67" s="883"/>
      <c r="L67" s="37"/>
      <c r="M67" s="37"/>
      <c r="N67" s="37"/>
      <c r="O67" s="37"/>
      <c r="P67" s="37"/>
      <c r="Q67" s="37"/>
      <c r="R67" s="37"/>
      <c r="S67" s="37"/>
      <c r="T67" s="37"/>
      <c r="U67" s="37"/>
      <c r="V67" s="37"/>
      <c r="W67" s="37"/>
      <c r="X67" s="37"/>
      <c r="Y67" s="37"/>
      <c r="Z67" s="37"/>
      <c r="AA67" s="37"/>
      <c r="AB67" s="37"/>
      <c r="AC67" s="37"/>
      <c r="AD67" s="37"/>
      <c r="AE67" s="37"/>
    </row>
    <row r="68" spans="1:31" ht="12.75">
      <c r="A68" s="833"/>
      <c r="B68" s="833"/>
      <c r="C68" s="884"/>
      <c r="D68" s="884"/>
      <c r="E68" s="884"/>
      <c r="F68" s="884"/>
      <c r="G68" s="884"/>
      <c r="H68" s="247"/>
      <c r="I68" s="247"/>
      <c r="J68" s="884"/>
      <c r="K68" s="884"/>
      <c r="L68" s="38"/>
      <c r="M68" s="38"/>
      <c r="N68" s="38"/>
      <c r="O68" s="38"/>
      <c r="P68" s="38"/>
      <c r="Q68" s="38"/>
      <c r="R68" s="38"/>
      <c r="S68" s="38"/>
      <c r="T68" s="38"/>
      <c r="U68" s="38"/>
      <c r="V68" s="38"/>
      <c r="W68" s="38"/>
      <c r="X68" s="38"/>
      <c r="Y68" s="38"/>
      <c r="Z68" s="38"/>
      <c r="AA68" s="38"/>
      <c r="AB68" s="38"/>
      <c r="AC68" s="38"/>
      <c r="AD68" s="38"/>
      <c r="AE68" s="38"/>
    </row>
    <row r="69" spans="1:31" ht="12.75">
      <c r="H69" s="247"/>
      <c r="I69" s="247"/>
      <c r="L69" s="34"/>
      <c r="M69" s="34"/>
      <c r="N69" s="34"/>
      <c r="O69" s="34"/>
      <c r="P69" s="34"/>
      <c r="Q69" s="34"/>
      <c r="R69" s="34"/>
    </row>
    <row r="70" spans="1:31" ht="12.75">
      <c r="H70" s="247"/>
      <c r="I70" s="247"/>
      <c r="L70" s="34"/>
      <c r="M70" s="34"/>
      <c r="N70" s="34"/>
      <c r="O70" s="34"/>
      <c r="P70" s="34"/>
      <c r="Q70" s="34"/>
      <c r="R70" s="34"/>
    </row>
    <row r="71" spans="1:31" ht="12.75">
      <c r="H71" s="247"/>
      <c r="I71" s="247"/>
      <c r="L71" s="34"/>
      <c r="M71" s="34"/>
      <c r="N71" s="34"/>
      <c r="O71" s="34"/>
      <c r="P71" s="34"/>
      <c r="Q71" s="34"/>
      <c r="R71" s="34"/>
    </row>
    <row r="72" spans="1:31" ht="12.75">
      <c r="H72" s="247"/>
      <c r="I72" s="247"/>
      <c r="L72" s="34"/>
      <c r="M72" s="34"/>
      <c r="N72" s="34"/>
      <c r="O72" s="34"/>
      <c r="P72" s="34"/>
      <c r="Q72" s="34"/>
      <c r="R72" s="34"/>
    </row>
    <row r="73" spans="1:31" ht="12.75">
      <c r="G73" s="847"/>
      <c r="H73" s="247"/>
      <c r="I73" s="247"/>
      <c r="L73" s="34"/>
      <c r="M73" s="34"/>
      <c r="N73" s="34"/>
      <c r="O73" s="34"/>
      <c r="P73" s="34"/>
      <c r="Q73" s="34"/>
      <c r="R73" s="34"/>
    </row>
    <row r="74" spans="1:31" ht="12.75">
      <c r="G74" s="847"/>
      <c r="H74" s="247"/>
      <c r="I74" s="247"/>
      <c r="L74" s="34"/>
      <c r="M74" s="34"/>
      <c r="N74" s="34"/>
      <c r="O74" s="34"/>
      <c r="P74" s="34"/>
      <c r="Q74" s="34"/>
      <c r="R74" s="34"/>
    </row>
    <row r="75" spans="1:31" ht="12.75">
      <c r="H75" s="247"/>
      <c r="I75" s="247"/>
      <c r="L75" s="34"/>
      <c r="M75" s="34"/>
      <c r="N75" s="34"/>
      <c r="O75" s="34"/>
      <c r="P75" s="34"/>
      <c r="Q75" s="34"/>
      <c r="R75" s="34"/>
    </row>
    <row r="76" spans="1:31" ht="12.75">
      <c r="H76" s="247"/>
      <c r="I76" s="247"/>
      <c r="L76" s="34"/>
      <c r="M76" s="34"/>
      <c r="N76" s="34"/>
      <c r="O76" s="34"/>
      <c r="P76" s="34"/>
      <c r="Q76" s="34"/>
      <c r="R76" s="34"/>
    </row>
    <row r="77" spans="1:31" ht="12.75">
      <c r="H77" s="247"/>
      <c r="I77" s="247"/>
      <c r="L77" s="34"/>
      <c r="M77" s="34"/>
      <c r="N77" s="34"/>
      <c r="O77" s="34"/>
      <c r="P77" s="34"/>
      <c r="Q77" s="34"/>
      <c r="R77" s="34"/>
    </row>
    <row r="78" spans="1:31" ht="12.75">
      <c r="H78" s="247"/>
      <c r="I78" s="247"/>
      <c r="L78" s="34"/>
      <c r="M78" s="34"/>
      <c r="N78" s="34"/>
      <c r="O78" s="34"/>
      <c r="P78" s="34"/>
      <c r="Q78" s="34"/>
      <c r="R78" s="34"/>
    </row>
    <row r="79" spans="1:31" ht="12.75">
      <c r="G79" s="847"/>
      <c r="H79" s="247"/>
      <c r="I79" s="247"/>
      <c r="L79" s="34"/>
      <c r="M79" s="34"/>
      <c r="N79" s="34"/>
      <c r="O79" s="34"/>
      <c r="P79" s="34"/>
      <c r="Q79" s="34"/>
      <c r="R79" s="34"/>
    </row>
    <row r="80" spans="1:31" ht="12.75">
      <c r="G80" s="847"/>
      <c r="H80" s="247"/>
      <c r="I80" s="247"/>
      <c r="L80" s="34"/>
      <c r="M80" s="34"/>
      <c r="N80" s="34"/>
      <c r="O80" s="34"/>
      <c r="P80" s="34"/>
      <c r="Q80" s="34"/>
      <c r="R80" s="34"/>
    </row>
    <row r="81" spans="1:32" ht="12.75">
      <c r="A81" s="833"/>
      <c r="B81" s="841"/>
      <c r="C81" s="862"/>
      <c r="D81" s="862"/>
      <c r="G81" s="847"/>
      <c r="H81" s="247"/>
      <c r="I81" s="247"/>
      <c r="L81" s="34"/>
      <c r="M81" s="34"/>
      <c r="N81" s="34"/>
      <c r="O81" s="34"/>
      <c r="P81" s="34"/>
      <c r="Q81" s="34"/>
      <c r="R81" s="34"/>
    </row>
    <row r="82" spans="1:32" ht="12.75">
      <c r="A82" s="247"/>
      <c r="B82" s="247"/>
      <c r="C82" s="247"/>
      <c r="D82" s="247"/>
      <c r="E82" s="247"/>
      <c r="F82" s="247"/>
      <c r="G82" s="247"/>
      <c r="H82" s="247"/>
      <c r="I82" s="247"/>
      <c r="L82" s="34"/>
      <c r="M82" s="34"/>
      <c r="N82" s="34"/>
      <c r="O82" s="34"/>
      <c r="P82" s="34"/>
      <c r="Q82" s="34"/>
      <c r="R82" s="34"/>
    </row>
    <row r="83" spans="1:32" ht="12.75">
      <c r="A83" s="247"/>
      <c r="B83" s="247"/>
      <c r="C83" s="247"/>
      <c r="D83" s="247"/>
      <c r="E83" s="247"/>
      <c r="F83" s="247"/>
      <c r="G83" s="247"/>
      <c r="H83" s="247"/>
      <c r="I83" s="247"/>
      <c r="L83" s="34"/>
      <c r="M83" s="34"/>
      <c r="N83" s="34"/>
      <c r="O83" s="34"/>
      <c r="P83" s="34"/>
      <c r="Q83" s="34"/>
      <c r="R83" s="34"/>
    </row>
    <row r="84" spans="1:32" ht="12.75">
      <c r="A84" s="247"/>
      <c r="B84" s="247"/>
      <c r="C84" s="247"/>
      <c r="D84" s="247"/>
      <c r="E84" s="247"/>
      <c r="F84" s="247"/>
      <c r="G84" s="247"/>
      <c r="H84" s="247"/>
      <c r="I84" s="247"/>
      <c r="L84" s="34"/>
      <c r="M84" s="34"/>
      <c r="N84" s="34"/>
      <c r="O84" s="34"/>
      <c r="P84" s="34"/>
      <c r="Q84" s="34"/>
      <c r="R84" s="34"/>
    </row>
    <row r="85" spans="1:32" ht="12.75">
      <c r="A85" s="247"/>
      <c r="B85" s="247"/>
      <c r="C85" s="247"/>
      <c r="D85" s="247"/>
      <c r="E85" s="247"/>
      <c r="F85" s="247"/>
      <c r="G85" s="247"/>
      <c r="H85" s="247"/>
      <c r="I85" s="247"/>
      <c r="L85" s="34"/>
      <c r="M85" s="34"/>
      <c r="N85" s="34"/>
      <c r="O85" s="34"/>
      <c r="P85" s="34"/>
      <c r="Q85" s="34"/>
      <c r="R85" s="34"/>
    </row>
    <row r="86" spans="1:32" ht="12.75">
      <c r="A86" s="247"/>
      <c r="B86" s="247"/>
      <c r="C86" s="247"/>
      <c r="D86" s="247"/>
      <c r="E86" s="247"/>
      <c r="F86" s="247"/>
      <c r="G86" s="247"/>
      <c r="H86" s="247"/>
      <c r="I86" s="247"/>
      <c r="L86" s="34"/>
      <c r="M86" s="34"/>
      <c r="N86" s="34"/>
      <c r="O86" s="34"/>
      <c r="P86" s="34"/>
      <c r="Q86" s="34"/>
      <c r="R86" s="34"/>
    </row>
    <row r="87" spans="1:32" ht="12.75">
      <c r="A87" s="247"/>
      <c r="B87" s="247"/>
      <c r="C87" s="247"/>
      <c r="D87" s="247"/>
      <c r="E87" s="247"/>
      <c r="F87" s="247"/>
      <c r="G87" s="247"/>
      <c r="H87" s="247"/>
      <c r="I87" s="247"/>
      <c r="L87" s="34"/>
      <c r="M87" s="34"/>
      <c r="N87" s="34"/>
      <c r="O87" s="34"/>
      <c r="P87" s="34"/>
      <c r="Q87" s="34"/>
      <c r="R87" s="34"/>
    </row>
    <row r="88" spans="1:32" ht="12.75">
      <c r="A88" s="247"/>
      <c r="B88" s="247"/>
      <c r="C88" s="247"/>
      <c r="D88" s="247"/>
      <c r="E88" s="247"/>
      <c r="F88" s="247"/>
      <c r="G88" s="247"/>
      <c r="H88" s="247"/>
      <c r="I88" s="247"/>
      <c r="L88" s="34"/>
      <c r="M88" s="34"/>
      <c r="N88" s="34"/>
      <c r="O88" s="34"/>
      <c r="P88" s="34"/>
      <c r="Q88" s="34"/>
      <c r="R88" s="34"/>
    </row>
    <row r="89" spans="1:32" ht="11.45" customHeight="1">
      <c r="A89" s="833"/>
      <c r="B89" s="841"/>
      <c r="C89" s="862"/>
      <c r="D89" s="862"/>
      <c r="G89" s="847"/>
      <c r="H89" s="847"/>
      <c r="I89" s="847"/>
      <c r="L89" s="34"/>
      <c r="M89" s="34"/>
      <c r="N89" s="34"/>
      <c r="O89" s="34"/>
      <c r="P89" s="34"/>
      <c r="Q89" s="34"/>
      <c r="R89" s="34"/>
    </row>
    <row r="90" spans="1:32" ht="11.45" customHeight="1">
      <c r="A90" s="833"/>
      <c r="B90" s="841"/>
      <c r="C90" s="841"/>
      <c r="D90" s="841"/>
      <c r="E90" s="862"/>
      <c r="H90" s="847"/>
      <c r="I90" s="847"/>
      <c r="L90" s="34"/>
      <c r="M90" s="34"/>
      <c r="N90" s="34"/>
      <c r="O90" s="34"/>
      <c r="P90" s="34"/>
      <c r="Q90" s="34"/>
      <c r="R90" s="34"/>
      <c r="S90" s="34"/>
    </row>
    <row r="91" spans="1:32" ht="11.45" customHeight="1">
      <c r="A91" s="841"/>
      <c r="B91" s="833"/>
      <c r="C91" s="833"/>
      <c r="D91" s="833"/>
      <c r="E91" s="883"/>
      <c r="F91" s="883"/>
      <c r="G91" s="883"/>
      <c r="H91" s="883"/>
      <c r="I91" s="883"/>
      <c r="J91" s="883"/>
      <c r="K91" s="883"/>
      <c r="L91" s="37"/>
      <c r="M91" s="37"/>
      <c r="N91" s="37"/>
      <c r="O91" s="37"/>
      <c r="P91" s="37"/>
      <c r="Q91" s="37"/>
      <c r="R91" s="37"/>
      <c r="S91" s="37"/>
      <c r="T91" s="37"/>
      <c r="U91" s="37"/>
      <c r="V91" s="37"/>
      <c r="W91" s="37"/>
      <c r="X91" s="37"/>
      <c r="Y91" s="37"/>
      <c r="Z91" s="37"/>
      <c r="AA91" s="37"/>
      <c r="AB91" s="37"/>
      <c r="AC91" s="37"/>
      <c r="AD91" s="37"/>
      <c r="AE91" s="37"/>
      <c r="AF91" s="37"/>
    </row>
    <row r="92" spans="1:32" ht="11.45" customHeight="1">
      <c r="A92" s="841"/>
      <c r="B92" s="833"/>
      <c r="C92" s="833"/>
      <c r="D92" s="833"/>
      <c r="E92" s="884"/>
      <c r="F92" s="884"/>
      <c r="G92" s="884"/>
      <c r="H92" s="884"/>
      <c r="I92" s="884"/>
      <c r="J92" s="884"/>
      <c r="K92" s="884"/>
      <c r="L92" s="38"/>
      <c r="M92" s="38"/>
      <c r="N92" s="38"/>
      <c r="O92" s="38"/>
      <c r="P92" s="38"/>
      <c r="Q92" s="38"/>
      <c r="R92" s="38"/>
      <c r="S92" s="38"/>
      <c r="T92" s="38"/>
      <c r="U92" s="38"/>
      <c r="V92" s="38"/>
      <c r="W92" s="38"/>
      <c r="X92" s="38"/>
      <c r="Y92" s="38"/>
      <c r="Z92" s="38"/>
      <c r="AA92" s="38"/>
      <c r="AB92" s="38"/>
      <c r="AC92" s="38"/>
      <c r="AD92" s="38"/>
      <c r="AE92" s="38"/>
      <c r="AF92" s="38"/>
    </row>
    <row r="93" spans="1:32" ht="11.45" customHeight="1">
      <c r="A93" s="833"/>
      <c r="B93" s="841"/>
      <c r="C93" s="841"/>
      <c r="D93" s="841"/>
      <c r="E93" s="862"/>
      <c r="H93" s="847"/>
      <c r="I93" s="847"/>
      <c r="L93" s="34"/>
      <c r="M93" s="34"/>
      <c r="N93" s="34"/>
      <c r="O93" s="34"/>
      <c r="P93" s="34"/>
      <c r="Q93" s="34"/>
      <c r="R93" s="34"/>
      <c r="S93" s="34"/>
    </row>
    <row r="94" spans="1:32" ht="11.45" customHeight="1">
      <c r="A94" s="833"/>
      <c r="B94" s="841"/>
      <c r="C94" s="841"/>
      <c r="D94" s="841"/>
      <c r="E94" s="841"/>
      <c r="F94" s="841"/>
      <c r="G94" s="841"/>
      <c r="H94" s="841"/>
      <c r="I94" s="841"/>
      <c r="J94" s="841"/>
      <c r="K94" s="841"/>
      <c r="L94" s="36"/>
      <c r="M94" s="36"/>
      <c r="N94" s="36"/>
      <c r="O94" s="36"/>
      <c r="P94" s="36"/>
      <c r="Q94" s="36"/>
      <c r="R94" s="36"/>
      <c r="S94" s="36"/>
      <c r="T94" s="36"/>
      <c r="U94" s="36"/>
      <c r="V94" s="36"/>
      <c r="W94" s="36"/>
      <c r="X94" s="36"/>
      <c r="Y94" s="36"/>
      <c r="Z94" s="36"/>
      <c r="AA94" s="36"/>
      <c r="AB94" s="36"/>
      <c r="AC94" s="36"/>
      <c r="AD94" s="36"/>
      <c r="AE94" s="36"/>
      <c r="AF94" s="36"/>
    </row>
    <row r="95" spans="1:32" ht="11.45" customHeight="1">
      <c r="A95" s="833"/>
      <c r="B95" s="833"/>
      <c r="C95" s="833"/>
      <c r="D95" s="833"/>
      <c r="E95" s="883"/>
      <c r="F95" s="883"/>
      <c r="G95" s="883"/>
      <c r="H95" s="883"/>
      <c r="I95" s="883"/>
      <c r="J95" s="883"/>
      <c r="K95" s="883"/>
      <c r="L95" s="37"/>
      <c r="M95" s="37"/>
      <c r="N95" s="37"/>
      <c r="O95" s="37"/>
      <c r="P95" s="37"/>
      <c r="Q95" s="37"/>
      <c r="R95" s="37"/>
      <c r="S95" s="37"/>
      <c r="T95" s="37"/>
      <c r="U95" s="37"/>
      <c r="V95" s="37"/>
      <c r="W95" s="37"/>
      <c r="X95" s="37"/>
      <c r="Y95" s="37"/>
      <c r="Z95" s="37"/>
      <c r="AA95" s="37"/>
      <c r="AB95" s="37"/>
      <c r="AC95" s="37"/>
      <c r="AD95" s="37"/>
      <c r="AE95" s="37"/>
      <c r="AF95" s="37"/>
    </row>
    <row r="96" spans="1:32" ht="11.45" customHeight="1">
      <c r="A96" s="833"/>
      <c r="B96" s="841"/>
      <c r="C96" s="841"/>
      <c r="D96" s="841"/>
      <c r="E96" s="841"/>
      <c r="F96" s="885"/>
      <c r="G96" s="885"/>
      <c r="H96" s="885"/>
      <c r="I96" s="885"/>
      <c r="J96" s="885"/>
      <c r="K96" s="885"/>
      <c r="L96" s="39"/>
      <c r="M96" s="39"/>
      <c r="N96" s="39"/>
      <c r="O96" s="39"/>
      <c r="P96" s="39"/>
      <c r="Q96" s="39"/>
      <c r="R96" s="39"/>
      <c r="S96" s="39"/>
      <c r="T96" s="39"/>
      <c r="U96" s="39"/>
      <c r="V96" s="39"/>
      <c r="W96" s="39"/>
      <c r="X96" s="39"/>
      <c r="Y96" s="39"/>
      <c r="Z96" s="39"/>
      <c r="AA96" s="39"/>
      <c r="AB96" s="39"/>
      <c r="AC96" s="39"/>
      <c r="AD96" s="39"/>
      <c r="AE96" s="39"/>
      <c r="AF96" s="39"/>
    </row>
    <row r="97" spans="1:32" ht="11.45" customHeight="1">
      <c r="A97" s="833"/>
      <c r="B97" s="833"/>
      <c r="C97" s="833"/>
      <c r="D97" s="833"/>
      <c r="E97" s="841"/>
      <c r="F97" s="885"/>
      <c r="G97" s="885"/>
      <c r="H97" s="885"/>
      <c r="I97" s="885"/>
      <c r="J97" s="885"/>
      <c r="K97" s="885"/>
      <c r="L97" s="39"/>
      <c r="M97" s="39"/>
      <c r="N97" s="39"/>
      <c r="O97" s="39"/>
      <c r="P97" s="39"/>
      <c r="Q97" s="39"/>
      <c r="R97" s="39"/>
      <c r="S97" s="39"/>
      <c r="T97" s="39"/>
      <c r="U97" s="39"/>
      <c r="V97" s="39"/>
      <c r="W97" s="39"/>
      <c r="X97" s="39"/>
      <c r="Y97" s="39"/>
      <c r="Z97" s="39"/>
      <c r="AA97" s="39"/>
      <c r="AB97" s="39"/>
      <c r="AC97" s="39"/>
      <c r="AD97" s="39"/>
      <c r="AE97" s="39"/>
      <c r="AF97" s="39"/>
    </row>
    <row r="98" spans="1:32" ht="11.45" customHeight="1">
      <c r="A98" s="833"/>
      <c r="B98" s="833"/>
      <c r="C98" s="833"/>
      <c r="D98" s="833"/>
      <c r="E98" s="841"/>
      <c r="F98" s="885"/>
      <c r="G98" s="885"/>
      <c r="H98" s="885"/>
      <c r="I98" s="885"/>
      <c r="J98" s="885"/>
      <c r="K98" s="885"/>
      <c r="L98" s="39"/>
      <c r="M98" s="39"/>
      <c r="N98" s="39"/>
      <c r="O98" s="39"/>
      <c r="P98" s="39"/>
      <c r="Q98" s="39"/>
      <c r="R98" s="39"/>
      <c r="S98" s="39"/>
      <c r="T98" s="39"/>
      <c r="U98" s="39"/>
      <c r="V98" s="39"/>
      <c r="W98" s="39"/>
      <c r="X98" s="39"/>
      <c r="Y98" s="39"/>
      <c r="Z98" s="39"/>
      <c r="AA98" s="39"/>
      <c r="AB98" s="39"/>
      <c r="AC98" s="39"/>
      <c r="AD98" s="39"/>
      <c r="AE98" s="39"/>
      <c r="AF98" s="39"/>
    </row>
    <row r="99" spans="1:32" ht="12.75">
      <c r="A99" s="247"/>
      <c r="B99" s="247"/>
      <c r="C99" s="247"/>
      <c r="D99" s="247"/>
      <c r="E99" s="247"/>
      <c r="F99" s="247"/>
      <c r="G99" s="247"/>
      <c r="H99" s="247"/>
      <c r="L99" s="34"/>
      <c r="M99" s="34"/>
      <c r="N99" s="34"/>
      <c r="O99" s="34"/>
      <c r="P99" s="34"/>
      <c r="Q99" s="34"/>
      <c r="R99" s="34"/>
    </row>
    <row r="100" spans="1:32" ht="12.75">
      <c r="A100" s="247"/>
      <c r="B100" s="247"/>
      <c r="C100" s="247"/>
      <c r="D100" s="247"/>
      <c r="E100" s="247"/>
      <c r="F100" s="247"/>
      <c r="G100" s="247"/>
      <c r="H100" s="247"/>
      <c r="L100" s="34"/>
      <c r="M100" s="34"/>
      <c r="N100" s="34"/>
      <c r="O100" s="34"/>
      <c r="P100" s="34"/>
      <c r="Q100" s="34"/>
      <c r="R100" s="34"/>
    </row>
    <row r="101" spans="1:32" ht="12.75">
      <c r="A101" s="247"/>
      <c r="B101" s="247"/>
      <c r="C101" s="247"/>
      <c r="D101" s="247"/>
      <c r="E101" s="247"/>
      <c r="F101" s="247"/>
      <c r="G101" s="247"/>
      <c r="H101" s="247"/>
      <c r="L101" s="34"/>
      <c r="M101" s="34"/>
      <c r="N101" s="34"/>
      <c r="O101" s="34"/>
      <c r="P101" s="34"/>
      <c r="Q101" s="34"/>
      <c r="R101" s="34"/>
    </row>
    <row r="102" spans="1:32" ht="12.75">
      <c r="A102" s="247"/>
      <c r="B102" s="247"/>
      <c r="C102" s="247"/>
      <c r="D102" s="247"/>
      <c r="E102" s="247"/>
      <c r="F102" s="247"/>
      <c r="G102" s="247"/>
      <c r="H102" s="247"/>
      <c r="L102" s="34"/>
      <c r="M102" s="34"/>
      <c r="N102" s="34"/>
      <c r="O102" s="34"/>
      <c r="P102" s="34"/>
      <c r="Q102" s="34"/>
      <c r="R102" s="34"/>
    </row>
    <row r="103" spans="1:32" ht="12.75">
      <c r="A103" s="247"/>
      <c r="B103" s="247"/>
      <c r="C103" s="247"/>
      <c r="D103" s="247"/>
      <c r="E103" s="247"/>
      <c r="F103" s="247"/>
      <c r="G103" s="247"/>
      <c r="H103" s="247"/>
      <c r="L103" s="34"/>
      <c r="M103" s="34"/>
      <c r="N103" s="34"/>
      <c r="O103" s="34"/>
      <c r="P103" s="34"/>
      <c r="Q103" s="34"/>
      <c r="R103" s="34"/>
    </row>
    <row r="104" spans="1:32" ht="12.75">
      <c r="A104" s="247"/>
      <c r="B104" s="247"/>
      <c r="C104" s="247"/>
      <c r="D104" s="247"/>
      <c r="E104" s="247"/>
      <c r="F104" s="247"/>
      <c r="G104" s="247"/>
      <c r="H104" s="247"/>
      <c r="L104" s="34"/>
      <c r="M104" s="34"/>
      <c r="N104" s="34"/>
      <c r="O104" s="34"/>
      <c r="P104" s="34"/>
      <c r="Q104" s="34"/>
      <c r="R104" s="34"/>
    </row>
    <row r="105" spans="1:32" ht="12.75">
      <c r="A105" s="247"/>
      <c r="B105" s="247"/>
      <c r="C105" s="247"/>
      <c r="D105" s="247"/>
      <c r="E105" s="247"/>
      <c r="F105" s="247"/>
      <c r="G105" s="247"/>
      <c r="H105" s="247"/>
      <c r="L105" s="34"/>
      <c r="M105" s="34"/>
      <c r="N105" s="34"/>
      <c r="O105" s="34"/>
      <c r="P105" s="34"/>
      <c r="Q105" s="34"/>
      <c r="R105" s="34"/>
    </row>
    <row r="106" spans="1:32" ht="12.75">
      <c r="A106" s="247"/>
      <c r="B106" s="247"/>
      <c r="C106" s="247"/>
      <c r="D106" s="247"/>
      <c r="E106" s="247"/>
      <c r="F106" s="247"/>
      <c r="G106" s="247"/>
      <c r="H106" s="247"/>
      <c r="L106" s="34"/>
      <c r="M106" s="34"/>
      <c r="N106" s="34"/>
      <c r="O106" s="34"/>
      <c r="P106" s="34"/>
      <c r="Q106" s="34"/>
      <c r="R106" s="34"/>
    </row>
    <row r="107" spans="1:32" ht="12.75">
      <c r="A107" s="247"/>
      <c r="B107" s="247"/>
      <c r="C107" s="247"/>
      <c r="D107" s="247"/>
      <c r="E107" s="247"/>
      <c r="F107" s="247"/>
      <c r="G107" s="247"/>
      <c r="H107" s="247"/>
      <c r="L107" s="34"/>
      <c r="M107" s="34"/>
      <c r="N107" s="34"/>
      <c r="O107" s="34"/>
      <c r="P107" s="34"/>
      <c r="Q107" s="34"/>
      <c r="R107" s="34"/>
    </row>
    <row r="108" spans="1:32" ht="12.75">
      <c r="A108" s="247"/>
      <c r="B108" s="247"/>
      <c r="C108" s="247"/>
      <c r="D108" s="247"/>
      <c r="E108" s="247"/>
      <c r="F108" s="247"/>
      <c r="G108" s="247"/>
      <c r="H108" s="247"/>
      <c r="L108" s="34"/>
      <c r="M108" s="34"/>
      <c r="N108" s="34"/>
      <c r="O108" s="34"/>
      <c r="P108" s="34"/>
      <c r="Q108" s="34"/>
      <c r="R108" s="34"/>
    </row>
    <row r="109" spans="1:32" ht="12.75">
      <c r="A109" s="247"/>
      <c r="B109" s="247"/>
      <c r="C109" s="247"/>
      <c r="D109" s="247"/>
      <c r="E109" s="247"/>
      <c r="F109" s="247"/>
      <c r="G109" s="247"/>
      <c r="H109" s="247"/>
      <c r="L109" s="34"/>
      <c r="M109" s="34"/>
      <c r="N109" s="34"/>
      <c r="O109" s="34"/>
      <c r="P109" s="34"/>
      <c r="Q109" s="34"/>
      <c r="R109" s="34"/>
    </row>
    <row r="110" spans="1:32" ht="12.75">
      <c r="A110" s="247"/>
      <c r="B110" s="247"/>
      <c r="C110" s="247"/>
      <c r="D110" s="247"/>
      <c r="E110" s="247"/>
      <c r="F110" s="247"/>
      <c r="G110" s="247"/>
      <c r="H110" s="247"/>
      <c r="L110" s="34"/>
      <c r="M110" s="34"/>
      <c r="N110" s="34"/>
      <c r="O110" s="34"/>
      <c r="P110" s="34"/>
      <c r="Q110" s="34"/>
      <c r="R110" s="34"/>
    </row>
    <row r="111" spans="1:32" ht="12.75">
      <c r="A111" s="247"/>
      <c r="B111" s="247"/>
      <c r="C111" s="247"/>
      <c r="D111" s="247"/>
      <c r="E111" s="247"/>
      <c r="F111" s="247"/>
      <c r="G111" s="247"/>
      <c r="H111" s="247"/>
      <c r="L111" s="34"/>
      <c r="M111" s="34"/>
      <c r="N111" s="34"/>
      <c r="O111" s="34"/>
      <c r="P111" s="34"/>
      <c r="Q111" s="34"/>
      <c r="R111" s="34"/>
    </row>
    <row r="112" spans="1:32" ht="12.75">
      <c r="A112" s="247"/>
      <c r="B112" s="247"/>
      <c r="C112" s="247"/>
      <c r="D112" s="247"/>
      <c r="E112" s="247"/>
      <c r="F112" s="247"/>
      <c r="G112" s="247"/>
      <c r="H112" s="247"/>
      <c r="L112" s="34"/>
      <c r="M112" s="34"/>
      <c r="N112" s="34"/>
      <c r="O112" s="34"/>
      <c r="P112" s="34"/>
      <c r="Q112" s="34"/>
      <c r="R112" s="34"/>
    </row>
    <row r="113" spans="1:18" ht="12.75">
      <c r="A113" s="247"/>
      <c r="B113" s="247"/>
      <c r="C113" s="247"/>
      <c r="D113" s="247"/>
      <c r="E113" s="247"/>
      <c r="F113" s="247"/>
      <c r="G113" s="247"/>
      <c r="H113" s="247"/>
      <c r="L113" s="34"/>
      <c r="M113" s="34"/>
      <c r="N113" s="34"/>
      <c r="O113" s="34"/>
      <c r="P113" s="34"/>
      <c r="Q113" s="34"/>
      <c r="R113" s="34"/>
    </row>
    <row r="114" spans="1:18" ht="12.75">
      <c r="A114" s="247"/>
      <c r="B114" s="247"/>
      <c r="C114" s="247"/>
      <c r="D114" s="247"/>
      <c r="E114" s="247"/>
      <c r="F114" s="247"/>
      <c r="G114" s="247"/>
      <c r="H114" s="247"/>
      <c r="L114" s="34"/>
      <c r="M114" s="34"/>
      <c r="N114" s="34"/>
      <c r="O114" s="34"/>
      <c r="P114" s="34"/>
      <c r="Q114" s="34"/>
      <c r="R114" s="34"/>
    </row>
    <row r="115" spans="1:18" ht="12.75">
      <c r="A115" s="247"/>
      <c r="B115" s="247"/>
      <c r="C115" s="247"/>
      <c r="D115" s="247"/>
      <c r="E115" s="247"/>
      <c r="F115" s="247"/>
      <c r="G115" s="247"/>
      <c r="H115" s="247"/>
      <c r="L115" s="34"/>
      <c r="M115" s="34"/>
      <c r="N115" s="34"/>
      <c r="O115" s="34"/>
      <c r="P115" s="34"/>
      <c r="Q115" s="34"/>
      <c r="R115" s="34"/>
    </row>
    <row r="116" spans="1:18" ht="12.75">
      <c r="A116" s="247"/>
      <c r="B116" s="247"/>
      <c r="C116" s="247"/>
      <c r="D116" s="247"/>
      <c r="E116" s="247"/>
      <c r="F116" s="247"/>
      <c r="G116" s="247"/>
      <c r="H116" s="247"/>
      <c r="L116" s="34"/>
      <c r="M116" s="34"/>
      <c r="N116" s="34"/>
      <c r="O116" s="34"/>
      <c r="P116" s="34"/>
      <c r="Q116" s="34"/>
      <c r="R116" s="34"/>
    </row>
    <row r="117" spans="1:18" ht="12.75">
      <c r="A117" s="247"/>
      <c r="B117" s="247"/>
      <c r="C117" s="247"/>
      <c r="D117" s="247"/>
      <c r="E117" s="247"/>
      <c r="F117" s="247"/>
      <c r="G117" s="247"/>
      <c r="H117" s="247"/>
      <c r="L117" s="34"/>
      <c r="M117" s="34"/>
      <c r="N117" s="34"/>
      <c r="O117" s="34"/>
      <c r="P117" s="34"/>
      <c r="Q117" s="34"/>
      <c r="R117" s="34"/>
    </row>
    <row r="118" spans="1:18" ht="12.75">
      <c r="A118" s="247"/>
      <c r="B118" s="247"/>
      <c r="C118" s="247"/>
      <c r="D118" s="247"/>
      <c r="E118" s="247"/>
      <c r="F118" s="247"/>
      <c r="G118" s="247"/>
      <c r="H118" s="247"/>
      <c r="L118" s="34"/>
      <c r="M118" s="34"/>
      <c r="N118" s="34"/>
      <c r="O118" s="34"/>
      <c r="P118" s="34"/>
      <c r="Q118" s="34"/>
      <c r="R118" s="34"/>
    </row>
    <row r="119" spans="1:18" ht="12.75">
      <c r="A119" s="247"/>
      <c r="B119" s="247"/>
      <c r="C119" s="247"/>
      <c r="D119" s="247"/>
      <c r="E119" s="247"/>
      <c r="F119" s="247"/>
      <c r="G119" s="247"/>
      <c r="H119" s="247"/>
      <c r="L119" s="34"/>
      <c r="M119" s="34"/>
      <c r="N119" s="34"/>
      <c r="O119" s="34"/>
      <c r="P119" s="34"/>
      <c r="Q119" s="34"/>
      <c r="R119" s="34"/>
    </row>
    <row r="120" spans="1:18" ht="12.75">
      <c r="A120" s="247"/>
      <c r="B120" s="247"/>
      <c r="C120" s="247"/>
      <c r="D120" s="247"/>
      <c r="E120" s="247"/>
      <c r="F120" s="247"/>
      <c r="G120" s="247"/>
      <c r="H120" s="247"/>
      <c r="L120" s="34"/>
      <c r="M120" s="34"/>
      <c r="N120" s="34"/>
      <c r="O120" s="34"/>
      <c r="P120" s="34"/>
      <c r="Q120" s="34"/>
      <c r="R120" s="34"/>
    </row>
    <row r="121" spans="1:18" ht="12.75">
      <c r="A121" s="247"/>
      <c r="B121" s="247"/>
      <c r="C121" s="247"/>
      <c r="D121" s="247"/>
      <c r="E121" s="247"/>
      <c r="F121" s="247"/>
      <c r="G121" s="247"/>
      <c r="H121" s="247"/>
      <c r="L121" s="34"/>
      <c r="M121" s="34"/>
      <c r="N121" s="34"/>
      <c r="O121" s="34"/>
      <c r="P121" s="34"/>
      <c r="Q121" s="34"/>
      <c r="R121" s="34"/>
    </row>
    <row r="122" spans="1:18" ht="12.75">
      <c r="A122" s="247"/>
      <c r="B122" s="247"/>
      <c r="C122" s="247"/>
      <c r="D122" s="247"/>
      <c r="E122" s="247"/>
      <c r="F122" s="247"/>
      <c r="G122" s="247"/>
      <c r="H122" s="247"/>
      <c r="L122" s="34"/>
      <c r="M122" s="34"/>
      <c r="N122" s="34"/>
      <c r="O122" s="34"/>
      <c r="P122" s="34"/>
      <c r="Q122" s="34"/>
      <c r="R122" s="34"/>
    </row>
    <row r="123" spans="1:18" ht="12.75">
      <c r="A123" s="247"/>
      <c r="B123" s="247"/>
      <c r="C123" s="247"/>
      <c r="D123" s="247"/>
      <c r="E123" s="247"/>
      <c r="F123" s="247"/>
      <c r="G123" s="247"/>
      <c r="H123" s="247"/>
      <c r="L123" s="34"/>
      <c r="M123" s="34"/>
      <c r="N123" s="34"/>
      <c r="O123" s="34"/>
      <c r="P123" s="34"/>
      <c r="Q123" s="34"/>
      <c r="R123" s="34"/>
    </row>
    <row r="124" spans="1:18" ht="12.75">
      <c r="A124" s="247"/>
      <c r="B124" s="247"/>
      <c r="C124" s="247"/>
      <c r="D124" s="247"/>
      <c r="E124" s="247"/>
      <c r="F124" s="247"/>
      <c r="G124" s="247"/>
      <c r="H124" s="247"/>
      <c r="L124" s="34"/>
      <c r="M124" s="34"/>
      <c r="N124" s="34"/>
      <c r="O124" s="34"/>
      <c r="P124" s="34"/>
      <c r="Q124" s="34"/>
      <c r="R124" s="34"/>
    </row>
    <row r="125" spans="1:18" ht="12.75">
      <c r="A125" s="247"/>
      <c r="B125" s="247"/>
      <c r="C125" s="247"/>
      <c r="D125" s="247"/>
      <c r="E125" s="247"/>
      <c r="F125" s="247"/>
      <c r="G125" s="247"/>
      <c r="H125" s="247"/>
      <c r="L125" s="34"/>
      <c r="M125" s="34"/>
      <c r="N125" s="34"/>
      <c r="O125" s="34"/>
      <c r="P125" s="34"/>
      <c r="Q125" s="34"/>
      <c r="R125" s="34"/>
    </row>
    <row r="126" spans="1:18" ht="12.75">
      <c r="A126" s="247"/>
      <c r="B126" s="247"/>
      <c r="C126" s="247"/>
      <c r="D126" s="247"/>
      <c r="E126" s="247"/>
      <c r="F126" s="247"/>
      <c r="G126" s="247"/>
      <c r="H126" s="247"/>
      <c r="L126" s="34"/>
      <c r="M126" s="34"/>
      <c r="N126" s="34"/>
      <c r="O126" s="34"/>
      <c r="P126" s="34"/>
      <c r="Q126" s="34"/>
      <c r="R126" s="34"/>
    </row>
    <row r="127" spans="1:18" ht="12.75">
      <c r="A127" s="247"/>
      <c r="B127" s="247"/>
      <c r="C127" s="247"/>
      <c r="D127" s="247"/>
      <c r="E127" s="247"/>
      <c r="F127" s="247"/>
      <c r="G127" s="247"/>
      <c r="H127" s="247"/>
      <c r="L127" s="34"/>
      <c r="M127" s="34"/>
      <c r="N127" s="34"/>
      <c r="O127" s="34"/>
      <c r="P127" s="34"/>
      <c r="Q127" s="34"/>
      <c r="R127" s="34"/>
    </row>
    <row r="128" spans="1:18" ht="12.75">
      <c r="A128" s="247"/>
      <c r="B128" s="247"/>
      <c r="C128" s="247"/>
      <c r="D128" s="247"/>
      <c r="E128" s="247"/>
      <c r="F128" s="247"/>
      <c r="G128" s="247"/>
      <c r="H128" s="247"/>
      <c r="L128" s="34"/>
      <c r="M128" s="34"/>
      <c r="N128" s="34"/>
      <c r="O128" s="34"/>
      <c r="P128" s="34"/>
      <c r="Q128" s="34"/>
      <c r="R128" s="34"/>
    </row>
    <row r="129" spans="1:18" ht="12.75">
      <c r="A129" s="247"/>
      <c r="B129" s="247"/>
      <c r="C129" s="247"/>
      <c r="D129" s="247"/>
      <c r="E129" s="247"/>
      <c r="F129" s="247"/>
      <c r="G129" s="247"/>
      <c r="H129" s="247"/>
      <c r="L129" s="34"/>
      <c r="M129" s="34"/>
      <c r="N129" s="34"/>
      <c r="O129" s="34"/>
      <c r="P129" s="34"/>
      <c r="Q129" s="34"/>
      <c r="R129" s="34"/>
    </row>
    <row r="130" spans="1:18" ht="12.75">
      <c r="A130" s="247"/>
      <c r="B130" s="247"/>
      <c r="C130" s="247"/>
      <c r="D130" s="247"/>
      <c r="E130" s="247"/>
      <c r="F130" s="247"/>
      <c r="G130" s="247"/>
      <c r="H130" s="247"/>
      <c r="L130" s="34"/>
      <c r="M130" s="34"/>
      <c r="N130" s="34"/>
      <c r="O130" s="34"/>
      <c r="P130" s="34"/>
      <c r="Q130" s="34"/>
      <c r="R130" s="34"/>
    </row>
    <row r="131" spans="1:18" ht="12.75">
      <c r="A131" s="247"/>
      <c r="B131" s="247"/>
      <c r="C131" s="247"/>
      <c r="D131" s="247"/>
      <c r="E131" s="247"/>
      <c r="F131" s="247"/>
      <c r="G131" s="247"/>
      <c r="H131" s="247"/>
      <c r="L131" s="34"/>
      <c r="M131" s="34"/>
      <c r="N131" s="34"/>
      <c r="O131" s="34"/>
      <c r="P131" s="34"/>
      <c r="Q131" s="34"/>
      <c r="R131" s="34"/>
    </row>
    <row r="132" spans="1:18" ht="12.75">
      <c r="A132" s="247"/>
      <c r="B132" s="247"/>
      <c r="C132" s="247"/>
      <c r="D132" s="247"/>
      <c r="E132" s="247"/>
      <c r="F132" s="247"/>
      <c r="G132" s="247"/>
      <c r="H132" s="247"/>
      <c r="L132" s="34"/>
      <c r="M132" s="34"/>
      <c r="N132" s="34"/>
      <c r="O132" s="34"/>
      <c r="P132" s="34"/>
      <c r="Q132" s="34"/>
      <c r="R132" s="34"/>
    </row>
    <row r="133" spans="1:18">
      <c r="L133" s="34"/>
      <c r="M133" s="34"/>
      <c r="N133" s="34"/>
      <c r="O133" s="34"/>
      <c r="P133" s="34"/>
      <c r="Q133" s="34"/>
      <c r="R133" s="34"/>
    </row>
    <row r="134" spans="1:18">
      <c r="L134" s="34"/>
      <c r="M134" s="34"/>
      <c r="N134" s="34"/>
      <c r="O134" s="34"/>
      <c r="P134" s="34"/>
      <c r="Q134" s="34"/>
      <c r="R134" s="34"/>
    </row>
    <row r="135" spans="1:18">
      <c r="L135" s="34"/>
      <c r="M135" s="34"/>
      <c r="N135" s="34"/>
      <c r="O135" s="34"/>
      <c r="P135" s="34"/>
      <c r="Q135" s="34"/>
      <c r="R135" s="34"/>
    </row>
    <row r="136" spans="1:18">
      <c r="L136" s="34"/>
      <c r="M136" s="34"/>
      <c r="N136" s="34"/>
      <c r="O136" s="34"/>
      <c r="P136" s="34"/>
      <c r="Q136" s="34"/>
      <c r="R136" s="34"/>
    </row>
    <row r="137" spans="1:18">
      <c r="L137" s="34"/>
      <c r="M137" s="34"/>
      <c r="N137" s="34"/>
      <c r="O137" s="34"/>
      <c r="P137" s="34"/>
      <c r="Q137" s="34"/>
      <c r="R137" s="34"/>
    </row>
    <row r="138" spans="1:18">
      <c r="L138" s="34"/>
      <c r="M138" s="34"/>
      <c r="N138" s="34"/>
      <c r="O138" s="34"/>
      <c r="P138" s="34"/>
      <c r="Q138" s="34"/>
      <c r="R138" s="34"/>
    </row>
    <row r="139" spans="1:18">
      <c r="L139" s="34"/>
      <c r="M139" s="34"/>
      <c r="N139" s="34"/>
      <c r="O139" s="34"/>
      <c r="P139" s="34"/>
      <c r="Q139" s="34"/>
      <c r="R139" s="34"/>
    </row>
    <row r="140" spans="1:18">
      <c r="L140" s="34"/>
      <c r="M140" s="34"/>
      <c r="N140" s="34"/>
      <c r="O140" s="34"/>
      <c r="P140" s="34"/>
      <c r="Q140" s="34"/>
      <c r="R140" s="34"/>
    </row>
    <row r="141" spans="1:18">
      <c r="L141" s="34"/>
      <c r="M141" s="34"/>
      <c r="N141" s="34"/>
      <c r="O141" s="34"/>
      <c r="P141" s="34"/>
      <c r="Q141" s="34"/>
      <c r="R141" s="34"/>
    </row>
    <row r="142" spans="1:18">
      <c r="L142" s="34"/>
      <c r="M142" s="34"/>
      <c r="N142" s="34"/>
      <c r="O142" s="34"/>
      <c r="P142" s="34"/>
      <c r="Q142" s="34"/>
      <c r="R142" s="34"/>
    </row>
    <row r="143" spans="1:18">
      <c r="L143" s="34"/>
      <c r="M143" s="34"/>
      <c r="N143" s="34"/>
      <c r="O143" s="34"/>
      <c r="P143" s="34"/>
      <c r="Q143" s="34"/>
      <c r="R143" s="34"/>
    </row>
    <row r="144" spans="1:18">
      <c r="L144" s="34"/>
      <c r="M144" s="34"/>
      <c r="N144" s="34"/>
      <c r="O144" s="34"/>
      <c r="P144" s="34"/>
      <c r="Q144" s="34"/>
      <c r="R144" s="34"/>
    </row>
    <row r="145" spans="12:18">
      <c r="L145" s="34"/>
      <c r="M145" s="34"/>
      <c r="N145" s="34"/>
      <c r="O145" s="34"/>
      <c r="P145" s="34"/>
      <c r="Q145" s="34"/>
      <c r="R145" s="34"/>
    </row>
    <row r="146" spans="12:18">
      <c r="L146" s="34"/>
      <c r="M146" s="34"/>
      <c r="N146" s="34"/>
      <c r="O146" s="34"/>
      <c r="P146" s="34"/>
      <c r="Q146" s="34"/>
      <c r="R146" s="34"/>
    </row>
    <row r="147" spans="12:18">
      <c r="L147" s="34"/>
      <c r="M147" s="34"/>
      <c r="N147" s="34"/>
      <c r="O147" s="34"/>
      <c r="P147" s="34"/>
      <c r="Q147" s="34"/>
      <c r="R147" s="34"/>
    </row>
    <row r="148" spans="12:18">
      <c r="L148" s="34"/>
      <c r="M148" s="34"/>
      <c r="N148" s="34"/>
      <c r="O148" s="34"/>
      <c r="P148" s="34"/>
      <c r="Q148" s="34"/>
      <c r="R148" s="34"/>
    </row>
    <row r="149" spans="12:18">
      <c r="L149" s="34"/>
      <c r="M149" s="34"/>
      <c r="N149" s="34"/>
      <c r="O149" s="34"/>
      <c r="P149" s="34"/>
      <c r="Q149" s="34"/>
      <c r="R149" s="34"/>
    </row>
    <row r="150" spans="12:18">
      <c r="L150" s="34"/>
      <c r="M150" s="34"/>
      <c r="N150" s="34"/>
      <c r="O150" s="34"/>
      <c r="P150" s="34"/>
      <c r="Q150" s="34"/>
      <c r="R150" s="34"/>
    </row>
    <row r="151" spans="12:18">
      <c r="L151" s="34"/>
      <c r="M151" s="34"/>
      <c r="N151" s="34"/>
      <c r="O151" s="34"/>
      <c r="P151" s="34"/>
      <c r="Q151" s="34"/>
      <c r="R151" s="34"/>
    </row>
    <row r="152" spans="12:18">
      <c r="L152" s="34"/>
      <c r="M152" s="34"/>
      <c r="N152" s="34"/>
      <c r="O152" s="34"/>
      <c r="P152" s="34"/>
      <c r="Q152" s="34"/>
      <c r="R152" s="34"/>
    </row>
    <row r="153" spans="12:18">
      <c r="L153" s="34"/>
      <c r="M153" s="34"/>
      <c r="N153" s="34"/>
      <c r="O153" s="34"/>
      <c r="P153" s="34"/>
      <c r="Q153" s="34"/>
      <c r="R153" s="34"/>
    </row>
    <row r="154" spans="12:18">
      <c r="L154" s="34"/>
      <c r="M154" s="34"/>
      <c r="N154" s="34"/>
      <c r="O154" s="34"/>
      <c r="P154" s="34"/>
      <c r="Q154" s="34"/>
      <c r="R154" s="34"/>
    </row>
    <row r="155" spans="12:18">
      <c r="L155" s="34"/>
      <c r="M155" s="34"/>
      <c r="N155" s="34"/>
      <c r="O155" s="34"/>
      <c r="P155" s="34"/>
      <c r="Q155" s="34"/>
      <c r="R155" s="34"/>
    </row>
    <row r="156" spans="12:18">
      <c r="L156" s="34"/>
      <c r="M156" s="34"/>
      <c r="N156" s="34"/>
      <c r="O156" s="34"/>
      <c r="P156" s="34"/>
      <c r="Q156" s="34"/>
      <c r="R156" s="34"/>
    </row>
    <row r="157" spans="12:18">
      <c r="L157" s="34"/>
      <c r="M157" s="34"/>
      <c r="N157" s="34"/>
      <c r="O157" s="34"/>
      <c r="P157" s="34"/>
      <c r="Q157" s="34"/>
      <c r="R157" s="34"/>
    </row>
    <row r="158" spans="12:18">
      <c r="L158" s="34"/>
      <c r="M158" s="34"/>
      <c r="N158" s="34"/>
      <c r="O158" s="34"/>
      <c r="P158" s="34"/>
      <c r="Q158" s="34"/>
      <c r="R158" s="34"/>
    </row>
    <row r="159" spans="12:18">
      <c r="L159" s="34"/>
      <c r="M159" s="34"/>
      <c r="N159" s="34"/>
      <c r="O159" s="34"/>
      <c r="P159" s="34"/>
      <c r="Q159" s="34"/>
      <c r="R159" s="34"/>
    </row>
    <row r="160" spans="12:18">
      <c r="L160" s="34"/>
      <c r="M160" s="34"/>
      <c r="N160" s="34"/>
      <c r="O160" s="34"/>
      <c r="P160" s="34"/>
      <c r="Q160" s="34"/>
      <c r="R160" s="34"/>
    </row>
    <row r="161" spans="5:18">
      <c r="L161" s="34"/>
      <c r="M161" s="34"/>
      <c r="N161" s="34"/>
      <c r="O161" s="34"/>
      <c r="P161" s="34"/>
      <c r="Q161" s="34"/>
      <c r="R161" s="34"/>
    </row>
    <row r="162" spans="5:18">
      <c r="L162" s="34"/>
      <c r="M162" s="34"/>
      <c r="N162" s="34"/>
      <c r="O162" s="34"/>
      <c r="P162" s="34"/>
      <c r="Q162" s="34"/>
      <c r="R162" s="34"/>
    </row>
    <row r="163" spans="5:18">
      <c r="L163" s="34"/>
      <c r="M163" s="34"/>
      <c r="N163" s="34"/>
      <c r="O163" s="34"/>
      <c r="P163" s="34"/>
      <c r="Q163" s="34"/>
      <c r="R163" s="34"/>
    </row>
    <row r="164" spans="5:18">
      <c r="L164" s="34"/>
      <c r="M164" s="34"/>
      <c r="N164" s="34"/>
      <c r="O164" s="34"/>
      <c r="P164" s="34"/>
      <c r="Q164" s="34"/>
      <c r="R164" s="34"/>
    </row>
    <row r="165" spans="5:18">
      <c r="E165" s="886"/>
      <c r="L165" s="34"/>
      <c r="M165" s="34"/>
      <c r="N165" s="34"/>
      <c r="O165" s="34"/>
      <c r="P165" s="34"/>
      <c r="Q165" s="34"/>
      <c r="R165" s="34"/>
    </row>
    <row r="166" spans="5:18">
      <c r="L166" s="34"/>
      <c r="M166" s="34"/>
      <c r="N166" s="34"/>
      <c r="O166" s="34"/>
      <c r="P166" s="34"/>
      <c r="Q166" s="34"/>
      <c r="R166" s="34"/>
    </row>
    <row r="167" spans="5:18">
      <c r="L167" s="34"/>
      <c r="M167" s="34"/>
      <c r="N167" s="34"/>
      <c r="O167" s="34"/>
      <c r="P167" s="34"/>
      <c r="Q167" s="34"/>
      <c r="R167" s="34"/>
    </row>
    <row r="168" spans="5:18">
      <c r="L168" s="34"/>
      <c r="M168" s="34"/>
      <c r="N168" s="34"/>
      <c r="O168" s="34"/>
      <c r="P168" s="34"/>
      <c r="Q168" s="34"/>
      <c r="R168" s="34"/>
    </row>
    <row r="169" spans="5:18">
      <c r="L169" s="34"/>
      <c r="M169" s="34"/>
      <c r="N169" s="34"/>
      <c r="O169" s="34"/>
      <c r="P169" s="34"/>
      <c r="Q169" s="34"/>
      <c r="R169" s="34"/>
    </row>
    <row r="170" spans="5:18">
      <c r="L170" s="34"/>
      <c r="M170" s="34"/>
      <c r="N170" s="34"/>
      <c r="O170" s="34"/>
      <c r="P170" s="34"/>
      <c r="Q170" s="34"/>
      <c r="R170" s="34"/>
    </row>
    <row r="171" spans="5:18">
      <c r="L171" s="34"/>
      <c r="M171" s="34"/>
      <c r="N171" s="34"/>
      <c r="O171" s="34"/>
      <c r="P171" s="34"/>
      <c r="Q171" s="34"/>
      <c r="R171" s="34"/>
    </row>
    <row r="172" spans="5:18">
      <c r="L172" s="34"/>
      <c r="M172" s="34"/>
      <c r="N172" s="34"/>
      <c r="O172" s="34"/>
      <c r="P172" s="34"/>
      <c r="Q172" s="34"/>
      <c r="R172" s="34"/>
    </row>
    <row r="173" spans="5:18">
      <c r="L173" s="34"/>
      <c r="M173" s="34"/>
      <c r="N173" s="34"/>
      <c r="O173" s="34"/>
      <c r="P173" s="34"/>
      <c r="Q173" s="34"/>
      <c r="R173" s="34"/>
    </row>
    <row r="174" spans="5:18">
      <c r="L174" s="34"/>
      <c r="M174" s="34"/>
      <c r="N174" s="34"/>
      <c r="O174" s="34"/>
      <c r="P174" s="34"/>
      <c r="Q174" s="34"/>
      <c r="R174" s="34"/>
    </row>
    <row r="175" spans="5:18">
      <c r="L175" s="34"/>
      <c r="M175" s="34"/>
      <c r="N175" s="34"/>
      <c r="O175" s="34"/>
      <c r="P175" s="34"/>
      <c r="Q175" s="34"/>
      <c r="R175" s="34"/>
    </row>
    <row r="176" spans="5:18">
      <c r="L176" s="34"/>
      <c r="M176" s="34"/>
      <c r="N176" s="34"/>
      <c r="O176" s="34"/>
      <c r="P176" s="34"/>
      <c r="Q176" s="34"/>
      <c r="R176" s="34"/>
    </row>
    <row r="177" spans="12:18">
      <c r="L177" s="34"/>
      <c r="M177" s="34"/>
      <c r="N177" s="34"/>
      <c r="O177" s="34"/>
      <c r="P177" s="34"/>
      <c r="Q177" s="34"/>
      <c r="R177" s="34"/>
    </row>
    <row r="178" spans="12:18">
      <c r="L178" s="34"/>
      <c r="M178" s="34"/>
      <c r="N178" s="34"/>
      <c r="O178" s="34"/>
      <c r="P178" s="34"/>
      <c r="Q178" s="34"/>
      <c r="R178" s="34"/>
    </row>
    <row r="179" spans="12:18">
      <c r="L179" s="34"/>
      <c r="M179" s="34"/>
      <c r="N179" s="34"/>
      <c r="O179" s="34"/>
      <c r="P179" s="34"/>
      <c r="Q179" s="34"/>
      <c r="R179" s="34"/>
    </row>
    <row r="180" spans="12:18">
      <c r="L180" s="34"/>
      <c r="M180" s="34"/>
      <c r="N180" s="34"/>
      <c r="O180" s="34"/>
      <c r="P180" s="34"/>
      <c r="Q180" s="34"/>
      <c r="R180" s="34"/>
    </row>
    <row r="181" spans="12:18">
      <c r="L181" s="34"/>
      <c r="M181" s="34"/>
      <c r="N181" s="34"/>
      <c r="O181" s="34"/>
      <c r="P181" s="34"/>
      <c r="Q181" s="34"/>
      <c r="R181" s="34"/>
    </row>
    <row r="182" spans="12:18">
      <c r="L182" s="34"/>
      <c r="M182" s="34"/>
      <c r="N182" s="34"/>
      <c r="O182" s="34"/>
      <c r="P182" s="34"/>
      <c r="Q182" s="34"/>
      <c r="R182" s="34"/>
    </row>
    <row r="183" spans="12:18">
      <c r="L183" s="34"/>
      <c r="M183" s="34"/>
      <c r="N183" s="34"/>
      <c r="O183" s="34"/>
      <c r="P183" s="34"/>
      <c r="Q183" s="34"/>
      <c r="R183" s="34"/>
    </row>
    <row r="184" spans="12:18">
      <c r="L184" s="34"/>
      <c r="M184" s="34"/>
      <c r="N184" s="34"/>
      <c r="O184" s="34"/>
      <c r="P184" s="34"/>
      <c r="Q184" s="34"/>
      <c r="R184" s="34"/>
    </row>
    <row r="185" spans="12:18">
      <c r="L185" s="34"/>
      <c r="M185" s="34"/>
      <c r="N185" s="34"/>
      <c r="O185" s="34"/>
      <c r="P185" s="34"/>
      <c r="Q185" s="34"/>
      <c r="R185" s="34"/>
    </row>
    <row r="186" spans="12:18">
      <c r="L186" s="34"/>
      <c r="M186" s="34"/>
      <c r="N186" s="34"/>
      <c r="O186" s="34"/>
      <c r="P186" s="34"/>
      <c r="Q186" s="34"/>
      <c r="R186" s="34"/>
    </row>
    <row r="187" spans="12:18">
      <c r="L187" s="34"/>
      <c r="M187" s="34"/>
      <c r="N187" s="34"/>
      <c r="O187" s="34"/>
      <c r="P187" s="34"/>
      <c r="Q187" s="34"/>
      <c r="R187" s="34"/>
    </row>
    <row r="188" spans="12:18">
      <c r="L188" s="34"/>
      <c r="M188" s="34"/>
      <c r="N188" s="34"/>
      <c r="O188" s="34"/>
      <c r="P188" s="34"/>
      <c r="Q188" s="34"/>
      <c r="R188" s="34"/>
    </row>
    <row r="189" spans="12:18">
      <c r="L189" s="34"/>
      <c r="M189" s="34"/>
      <c r="N189" s="34"/>
      <c r="O189" s="34"/>
      <c r="P189" s="34"/>
      <c r="Q189" s="34"/>
      <c r="R189" s="34"/>
    </row>
    <row r="190" spans="12:18">
      <c r="L190" s="34"/>
      <c r="M190" s="34"/>
      <c r="N190" s="34"/>
      <c r="O190" s="34"/>
      <c r="P190" s="34"/>
      <c r="Q190" s="34"/>
      <c r="R190" s="34"/>
    </row>
    <row r="191" spans="12:18">
      <c r="L191" s="34"/>
      <c r="M191" s="34"/>
      <c r="N191" s="34"/>
      <c r="O191" s="34"/>
      <c r="P191" s="34"/>
      <c r="Q191" s="34"/>
      <c r="R191" s="34"/>
    </row>
    <row r="192" spans="12:18">
      <c r="L192" s="34"/>
      <c r="M192" s="34"/>
      <c r="N192" s="34"/>
      <c r="O192" s="34"/>
      <c r="P192" s="34"/>
      <c r="Q192" s="34"/>
      <c r="R192" s="34"/>
    </row>
    <row r="193" spans="12:18">
      <c r="L193" s="34"/>
      <c r="M193" s="34"/>
      <c r="N193" s="34"/>
      <c r="O193" s="34"/>
      <c r="P193" s="34"/>
      <c r="Q193" s="34"/>
      <c r="R193" s="34"/>
    </row>
    <row r="194" spans="12:18">
      <c r="L194" s="34"/>
      <c r="M194" s="34"/>
      <c r="N194" s="34"/>
      <c r="O194" s="34"/>
      <c r="P194" s="34"/>
      <c r="Q194" s="34"/>
      <c r="R194" s="34"/>
    </row>
    <row r="195" spans="12:18">
      <c r="L195" s="34"/>
      <c r="M195" s="34"/>
      <c r="N195" s="34"/>
      <c r="O195" s="34"/>
      <c r="P195" s="34"/>
      <c r="Q195" s="34"/>
      <c r="R195" s="34"/>
    </row>
    <row r="196" spans="12:18">
      <c r="L196" s="34"/>
      <c r="M196" s="34"/>
      <c r="N196" s="34"/>
      <c r="O196" s="34"/>
      <c r="P196" s="34"/>
      <c r="Q196" s="34"/>
      <c r="R196" s="34"/>
    </row>
    <row r="197" spans="12:18">
      <c r="L197" s="34"/>
      <c r="M197" s="34"/>
      <c r="N197" s="34"/>
      <c r="O197" s="34"/>
      <c r="P197" s="34"/>
      <c r="Q197" s="34"/>
      <c r="R197" s="34"/>
    </row>
    <row r="198" spans="12:18">
      <c r="L198" s="34"/>
      <c r="M198" s="34"/>
      <c r="N198" s="34"/>
      <c r="O198" s="34"/>
      <c r="P198" s="34"/>
      <c r="Q198" s="34"/>
      <c r="R198" s="34"/>
    </row>
    <row r="199" spans="12:18">
      <c r="L199" s="34"/>
      <c r="M199" s="34"/>
      <c r="N199" s="34"/>
      <c r="O199" s="34"/>
      <c r="P199" s="34"/>
      <c r="Q199" s="34"/>
      <c r="R199" s="34"/>
    </row>
    <row r="200" spans="12:18">
      <c r="L200" s="34"/>
      <c r="M200" s="34"/>
      <c r="N200" s="34"/>
      <c r="O200" s="34"/>
      <c r="P200" s="34"/>
      <c r="Q200" s="34"/>
      <c r="R200" s="34"/>
    </row>
    <row r="201" spans="12:18">
      <c r="L201" s="34"/>
      <c r="M201" s="34"/>
      <c r="N201" s="34"/>
      <c r="O201" s="34"/>
      <c r="P201" s="34"/>
      <c r="Q201" s="34"/>
      <c r="R201" s="34"/>
    </row>
    <row r="202" spans="12:18">
      <c r="L202" s="34"/>
      <c r="M202" s="34"/>
      <c r="N202" s="34"/>
      <c r="O202" s="34"/>
      <c r="P202" s="34"/>
      <c r="Q202" s="34"/>
      <c r="R202" s="34"/>
    </row>
    <row r="203" spans="12:18">
      <c r="L203" s="34"/>
      <c r="M203" s="34"/>
      <c r="N203" s="34"/>
      <c r="O203" s="34"/>
      <c r="P203" s="34"/>
      <c r="Q203" s="34"/>
      <c r="R203" s="34"/>
    </row>
    <row r="204" spans="12:18">
      <c r="L204" s="34"/>
      <c r="M204" s="34"/>
      <c r="N204" s="34"/>
      <c r="O204" s="34"/>
      <c r="P204" s="34"/>
      <c r="Q204" s="34"/>
      <c r="R204" s="34"/>
    </row>
    <row r="205" spans="12:18">
      <c r="L205" s="34"/>
      <c r="M205" s="34"/>
      <c r="N205" s="34"/>
      <c r="O205" s="34"/>
      <c r="P205" s="34"/>
      <c r="Q205" s="34"/>
      <c r="R205" s="34"/>
    </row>
    <row r="206" spans="12:18">
      <c r="L206" s="34"/>
      <c r="M206" s="34"/>
      <c r="N206" s="34"/>
      <c r="O206" s="34"/>
      <c r="P206" s="34"/>
      <c r="Q206" s="34"/>
      <c r="R206" s="34"/>
    </row>
    <row r="207" spans="12:18">
      <c r="L207" s="34"/>
      <c r="M207" s="34"/>
      <c r="N207" s="34"/>
      <c r="O207" s="34"/>
      <c r="P207" s="34"/>
      <c r="Q207" s="34"/>
      <c r="R207" s="34"/>
    </row>
    <row r="208" spans="12:18">
      <c r="L208" s="34"/>
      <c r="M208" s="34"/>
      <c r="N208" s="34"/>
      <c r="O208" s="34"/>
      <c r="P208" s="34"/>
      <c r="Q208" s="34"/>
      <c r="R208" s="34"/>
    </row>
    <row r="209" spans="12:18">
      <c r="L209" s="34"/>
      <c r="M209" s="34"/>
      <c r="N209" s="34"/>
      <c r="O209" s="34"/>
      <c r="P209" s="34"/>
      <c r="Q209" s="34"/>
      <c r="R209" s="34"/>
    </row>
    <row r="210" spans="12:18">
      <c r="L210" s="34"/>
      <c r="M210" s="34"/>
      <c r="N210" s="34"/>
      <c r="O210" s="34"/>
      <c r="P210" s="34"/>
      <c r="Q210" s="34"/>
      <c r="R210" s="34"/>
    </row>
    <row r="211" spans="12:18">
      <c r="L211" s="34"/>
      <c r="M211" s="34"/>
      <c r="N211" s="34"/>
      <c r="O211" s="34"/>
      <c r="P211" s="34"/>
      <c r="Q211" s="34"/>
      <c r="R211" s="34"/>
    </row>
    <row r="212" spans="12:18">
      <c r="L212" s="34"/>
      <c r="M212" s="34"/>
      <c r="N212" s="34"/>
      <c r="O212" s="34"/>
      <c r="P212" s="34"/>
      <c r="Q212" s="34"/>
      <c r="R212" s="34"/>
    </row>
    <row r="213" spans="12:18">
      <c r="L213" s="34"/>
      <c r="M213" s="34"/>
      <c r="N213" s="34"/>
      <c r="O213" s="34"/>
      <c r="P213" s="34"/>
      <c r="Q213" s="34"/>
      <c r="R213" s="34"/>
    </row>
    <row r="214" spans="12:18">
      <c r="L214" s="34"/>
      <c r="M214" s="34"/>
      <c r="N214" s="34"/>
      <c r="O214" s="34"/>
      <c r="P214" s="34"/>
      <c r="Q214" s="34"/>
      <c r="R214" s="34"/>
    </row>
    <row r="215" spans="12:18">
      <c r="L215" s="34"/>
      <c r="M215" s="34"/>
      <c r="N215" s="34"/>
      <c r="O215" s="34"/>
      <c r="P215" s="34"/>
      <c r="Q215" s="34"/>
      <c r="R215" s="34"/>
    </row>
    <row r="216" spans="12:18">
      <c r="L216" s="34"/>
      <c r="M216" s="34"/>
      <c r="N216" s="34"/>
      <c r="O216" s="34"/>
      <c r="P216" s="34"/>
      <c r="Q216" s="34"/>
      <c r="R216" s="34"/>
    </row>
    <row r="217" spans="12:18">
      <c r="L217" s="34"/>
      <c r="M217" s="34"/>
      <c r="N217" s="34"/>
      <c r="O217" s="34"/>
      <c r="P217" s="34"/>
      <c r="Q217" s="34"/>
      <c r="R217" s="34"/>
    </row>
    <row r="218" spans="12:18">
      <c r="L218" s="34"/>
      <c r="M218" s="34"/>
      <c r="N218" s="34"/>
      <c r="O218" s="34"/>
      <c r="P218" s="34"/>
      <c r="Q218" s="34"/>
      <c r="R218" s="34"/>
    </row>
    <row r="219" spans="12:18">
      <c r="L219" s="34"/>
      <c r="M219" s="34"/>
      <c r="N219" s="34"/>
      <c r="O219" s="34"/>
      <c r="P219" s="34"/>
      <c r="Q219" s="34"/>
      <c r="R219" s="34"/>
    </row>
    <row r="220" spans="12:18">
      <c r="L220" s="34"/>
      <c r="M220" s="34"/>
      <c r="N220" s="34"/>
      <c r="O220" s="34"/>
      <c r="P220" s="34"/>
      <c r="Q220" s="34"/>
      <c r="R220" s="34"/>
    </row>
    <row r="221" spans="12:18">
      <c r="L221" s="34"/>
      <c r="M221" s="34"/>
      <c r="N221" s="34"/>
      <c r="O221" s="34"/>
      <c r="P221" s="34"/>
      <c r="Q221" s="34"/>
      <c r="R221" s="34"/>
    </row>
    <row r="222" spans="12:18">
      <c r="L222" s="34"/>
      <c r="M222" s="34"/>
      <c r="N222" s="34"/>
      <c r="O222" s="34"/>
      <c r="P222" s="34"/>
      <c r="Q222" s="34"/>
      <c r="R222" s="34"/>
    </row>
    <row r="223" spans="12:18">
      <c r="L223" s="34"/>
      <c r="M223" s="34"/>
      <c r="N223" s="34"/>
      <c r="O223" s="34"/>
      <c r="P223" s="34"/>
      <c r="Q223" s="34"/>
      <c r="R223" s="34"/>
    </row>
    <row r="224" spans="12:18">
      <c r="L224" s="34"/>
      <c r="M224" s="34"/>
      <c r="N224" s="34"/>
      <c r="O224" s="34"/>
      <c r="P224" s="34"/>
      <c r="Q224" s="34"/>
      <c r="R224" s="34"/>
    </row>
    <row r="225" spans="12:18">
      <c r="L225" s="34"/>
      <c r="M225" s="34"/>
      <c r="N225" s="34"/>
      <c r="O225" s="34"/>
      <c r="P225" s="34"/>
      <c r="Q225" s="34"/>
      <c r="R225" s="34"/>
    </row>
    <row r="226" spans="12:18">
      <c r="L226" s="34"/>
      <c r="M226" s="34"/>
      <c r="N226" s="34"/>
      <c r="O226" s="34"/>
      <c r="P226" s="34"/>
      <c r="Q226" s="34"/>
      <c r="R226" s="34"/>
    </row>
    <row r="227" spans="12:18">
      <c r="L227" s="34"/>
      <c r="M227" s="34"/>
      <c r="N227" s="34"/>
      <c r="O227" s="34"/>
      <c r="P227" s="34"/>
      <c r="Q227" s="34"/>
      <c r="R227" s="34"/>
    </row>
    <row r="228" spans="12:18">
      <c r="L228" s="34"/>
      <c r="M228" s="34"/>
      <c r="N228" s="34"/>
      <c r="O228" s="34"/>
      <c r="P228" s="34"/>
      <c r="Q228" s="34"/>
      <c r="R228" s="34"/>
    </row>
    <row r="229" spans="12:18">
      <c r="L229" s="34"/>
      <c r="M229" s="34"/>
      <c r="N229" s="34"/>
      <c r="O229" s="34"/>
      <c r="P229" s="34"/>
      <c r="Q229" s="34"/>
      <c r="R229" s="34"/>
    </row>
    <row r="230" spans="12:18">
      <c r="L230" s="34"/>
      <c r="M230" s="34"/>
      <c r="N230" s="34"/>
      <c r="O230" s="34"/>
      <c r="P230" s="34"/>
      <c r="Q230" s="34"/>
      <c r="R230" s="34"/>
    </row>
    <row r="231" spans="12:18">
      <c r="L231" s="34"/>
      <c r="M231" s="34"/>
      <c r="N231" s="34"/>
      <c r="O231" s="34"/>
      <c r="P231" s="34"/>
      <c r="Q231" s="34"/>
      <c r="R231" s="34"/>
    </row>
    <row r="232" spans="12:18">
      <c r="L232" s="34"/>
      <c r="M232" s="34"/>
      <c r="N232" s="34"/>
      <c r="O232" s="34"/>
      <c r="P232" s="34"/>
      <c r="Q232" s="34"/>
      <c r="R232" s="34"/>
    </row>
    <row r="233" spans="12:18">
      <c r="L233" s="34"/>
      <c r="M233" s="34"/>
      <c r="N233" s="34"/>
      <c r="O233" s="34"/>
      <c r="P233" s="34"/>
      <c r="Q233" s="34"/>
      <c r="R233" s="34"/>
    </row>
    <row r="234" spans="12:18">
      <c r="L234" s="34"/>
      <c r="M234" s="34"/>
      <c r="N234" s="34"/>
      <c r="O234" s="34"/>
      <c r="P234" s="34"/>
      <c r="Q234" s="34"/>
      <c r="R234" s="34"/>
    </row>
    <row r="235" spans="12:18">
      <c r="L235" s="34"/>
      <c r="M235" s="34"/>
      <c r="N235" s="34"/>
      <c r="O235" s="34"/>
      <c r="P235" s="34"/>
      <c r="Q235" s="34"/>
      <c r="R235" s="34"/>
    </row>
    <row r="236" spans="12:18">
      <c r="L236" s="34"/>
      <c r="M236" s="34"/>
      <c r="N236" s="34"/>
      <c r="O236" s="34"/>
      <c r="P236" s="34"/>
      <c r="Q236" s="34"/>
      <c r="R236" s="34"/>
    </row>
    <row r="237" spans="12:18">
      <c r="L237" s="34"/>
      <c r="M237" s="34"/>
      <c r="N237" s="34"/>
      <c r="O237" s="34"/>
      <c r="P237" s="34"/>
      <c r="Q237" s="34"/>
      <c r="R237" s="34"/>
    </row>
    <row r="238" spans="12:18">
      <c r="L238" s="34"/>
      <c r="M238" s="34"/>
      <c r="N238" s="34"/>
      <c r="O238" s="34"/>
      <c r="P238" s="34"/>
      <c r="Q238" s="34"/>
      <c r="R238" s="34"/>
    </row>
    <row r="239" spans="12:18">
      <c r="L239" s="34"/>
      <c r="M239" s="34"/>
      <c r="N239" s="34"/>
      <c r="O239" s="34"/>
      <c r="P239" s="34"/>
      <c r="Q239" s="34"/>
      <c r="R239" s="34"/>
    </row>
    <row r="240" spans="12:18">
      <c r="L240" s="34"/>
      <c r="M240" s="34"/>
      <c r="N240" s="34"/>
      <c r="O240" s="34"/>
      <c r="P240" s="34"/>
      <c r="Q240" s="34"/>
      <c r="R240" s="34"/>
    </row>
    <row r="241" spans="12:18">
      <c r="L241" s="34"/>
      <c r="M241" s="34"/>
      <c r="N241" s="34"/>
      <c r="O241" s="34"/>
      <c r="P241" s="34"/>
      <c r="Q241" s="34"/>
      <c r="R241" s="34"/>
    </row>
    <row r="242" spans="12:18">
      <c r="L242" s="34"/>
      <c r="M242" s="34"/>
      <c r="N242" s="34"/>
      <c r="O242" s="34"/>
      <c r="P242" s="34"/>
      <c r="Q242" s="34"/>
      <c r="R242" s="34"/>
    </row>
    <row r="243" spans="12:18">
      <c r="L243" s="34"/>
      <c r="M243" s="34"/>
      <c r="N243" s="34"/>
      <c r="O243" s="34"/>
      <c r="P243" s="34"/>
      <c r="Q243" s="34"/>
      <c r="R243" s="34"/>
    </row>
    <row r="244" spans="12:18">
      <c r="L244" s="34"/>
      <c r="M244" s="34"/>
      <c r="N244" s="34"/>
      <c r="O244" s="34"/>
      <c r="P244" s="34"/>
      <c r="Q244" s="34"/>
      <c r="R244" s="34"/>
    </row>
    <row r="245" spans="12:18">
      <c r="L245" s="34"/>
      <c r="M245" s="34"/>
      <c r="N245" s="34"/>
      <c r="O245" s="34"/>
      <c r="P245" s="34"/>
      <c r="Q245" s="34"/>
      <c r="R245" s="34"/>
    </row>
    <row r="246" spans="12:18">
      <c r="L246" s="34"/>
      <c r="M246" s="34"/>
      <c r="N246" s="34"/>
      <c r="O246" s="34"/>
      <c r="P246" s="34"/>
      <c r="Q246" s="34"/>
      <c r="R246" s="34"/>
    </row>
    <row r="247" spans="12:18">
      <c r="L247" s="34"/>
      <c r="M247" s="34"/>
      <c r="N247" s="34"/>
      <c r="O247" s="34"/>
      <c r="P247" s="34"/>
      <c r="Q247" s="34"/>
      <c r="R247" s="34"/>
    </row>
    <row r="248" spans="12:18">
      <c r="L248" s="34"/>
      <c r="M248" s="34"/>
      <c r="N248" s="34"/>
      <c r="O248" s="34"/>
      <c r="P248" s="34"/>
      <c r="Q248" s="34"/>
      <c r="R248" s="34"/>
    </row>
    <row r="249" spans="12:18">
      <c r="L249" s="34"/>
      <c r="M249" s="34"/>
      <c r="N249" s="34"/>
      <c r="O249" s="34"/>
      <c r="P249" s="34"/>
      <c r="Q249" s="34"/>
      <c r="R249" s="34"/>
    </row>
    <row r="250" spans="12:18">
      <c r="L250" s="34"/>
      <c r="M250" s="34"/>
      <c r="N250" s="34"/>
      <c r="O250" s="34"/>
      <c r="P250" s="34"/>
      <c r="Q250" s="34"/>
      <c r="R250" s="34"/>
    </row>
    <row r="251" spans="12:18">
      <c r="L251" s="34"/>
      <c r="M251" s="34"/>
      <c r="N251" s="34"/>
      <c r="O251" s="34"/>
      <c r="P251" s="34"/>
      <c r="Q251" s="34"/>
      <c r="R251" s="34"/>
    </row>
    <row r="252" spans="12:18">
      <c r="L252" s="34"/>
      <c r="M252" s="34"/>
      <c r="N252" s="34"/>
      <c r="O252" s="34"/>
      <c r="P252" s="34"/>
      <c r="Q252" s="34"/>
      <c r="R252" s="34"/>
    </row>
    <row r="253" spans="12:18">
      <c r="L253" s="34"/>
      <c r="M253" s="34"/>
      <c r="N253" s="34"/>
      <c r="O253" s="34"/>
      <c r="P253" s="34"/>
      <c r="Q253" s="34"/>
      <c r="R253" s="34"/>
    </row>
    <row r="254" spans="12:18">
      <c r="L254" s="34"/>
      <c r="M254" s="34"/>
      <c r="N254" s="34"/>
      <c r="O254" s="34"/>
      <c r="P254" s="34"/>
      <c r="Q254" s="34"/>
      <c r="R254" s="34"/>
    </row>
    <row r="255" spans="12:18">
      <c r="L255" s="34"/>
      <c r="M255" s="34"/>
      <c r="N255" s="34"/>
      <c r="O255" s="34"/>
      <c r="P255" s="34"/>
      <c r="Q255" s="34"/>
      <c r="R255" s="34"/>
    </row>
    <row r="256" spans="12:18">
      <c r="L256" s="34"/>
      <c r="M256" s="34"/>
      <c r="N256" s="34"/>
      <c r="O256" s="34"/>
      <c r="P256" s="34"/>
      <c r="Q256" s="34"/>
      <c r="R256" s="34"/>
    </row>
    <row r="257" spans="12:18">
      <c r="L257" s="34"/>
      <c r="M257" s="34"/>
      <c r="N257" s="34"/>
      <c r="O257" s="34"/>
      <c r="P257" s="34"/>
      <c r="Q257" s="34"/>
      <c r="R257" s="34"/>
    </row>
    <row r="258" spans="12:18">
      <c r="L258" s="34"/>
      <c r="M258" s="34"/>
      <c r="N258" s="34"/>
      <c r="O258" s="34"/>
      <c r="P258" s="34"/>
      <c r="Q258" s="34"/>
      <c r="R258" s="34"/>
    </row>
    <row r="259" spans="12:18">
      <c r="L259" s="34"/>
      <c r="M259" s="34"/>
      <c r="N259" s="34"/>
      <c r="O259" s="34"/>
      <c r="P259" s="34"/>
      <c r="Q259" s="34"/>
      <c r="R259" s="34"/>
    </row>
    <row r="260" spans="12:18">
      <c r="L260" s="34"/>
      <c r="M260" s="34"/>
      <c r="N260" s="34"/>
      <c r="O260" s="34"/>
      <c r="P260" s="34"/>
      <c r="Q260" s="34"/>
      <c r="R260" s="34"/>
    </row>
    <row r="261" spans="12:18">
      <c r="L261" s="34"/>
      <c r="M261" s="34"/>
      <c r="N261" s="34"/>
      <c r="O261" s="34"/>
      <c r="P261" s="34"/>
      <c r="Q261" s="34"/>
      <c r="R261" s="34"/>
    </row>
    <row r="262" spans="12:18">
      <c r="L262" s="34"/>
      <c r="M262" s="34"/>
      <c r="N262" s="34"/>
      <c r="O262" s="34"/>
      <c r="P262" s="34"/>
      <c r="Q262" s="34"/>
      <c r="R262" s="34"/>
    </row>
    <row r="263" spans="12:18">
      <c r="L263" s="34"/>
      <c r="M263" s="34"/>
      <c r="N263" s="34"/>
      <c r="O263" s="34"/>
      <c r="P263" s="34"/>
      <c r="Q263" s="34"/>
      <c r="R263" s="34"/>
    </row>
    <row r="264" spans="12:18">
      <c r="L264" s="34"/>
      <c r="M264" s="34"/>
      <c r="N264" s="34"/>
      <c r="O264" s="34"/>
      <c r="P264" s="34"/>
      <c r="Q264" s="34"/>
      <c r="R264" s="34"/>
    </row>
    <row r="265" spans="12:18">
      <c r="L265" s="34"/>
      <c r="M265" s="34"/>
      <c r="N265" s="34"/>
      <c r="O265" s="34"/>
      <c r="P265" s="34"/>
      <c r="Q265" s="34"/>
      <c r="R265" s="34"/>
    </row>
    <row r="266" spans="12:18">
      <c r="L266" s="34"/>
      <c r="M266" s="34"/>
      <c r="N266" s="34"/>
      <c r="O266" s="34"/>
      <c r="P266" s="34"/>
      <c r="Q266" s="34"/>
      <c r="R266" s="34"/>
    </row>
    <row r="267" spans="12:18">
      <c r="L267" s="34"/>
      <c r="M267" s="34"/>
      <c r="N267" s="34"/>
      <c r="O267" s="34"/>
      <c r="P267" s="34"/>
      <c r="Q267" s="34"/>
      <c r="R267" s="34"/>
    </row>
    <row r="268" spans="12:18">
      <c r="L268" s="34"/>
      <c r="M268" s="34"/>
      <c r="N268" s="34"/>
      <c r="O268" s="34"/>
      <c r="P268" s="34"/>
      <c r="Q268" s="34"/>
      <c r="R268" s="34"/>
    </row>
    <row r="269" spans="12:18">
      <c r="L269" s="34"/>
      <c r="M269" s="34"/>
      <c r="N269" s="34"/>
      <c r="O269" s="34"/>
      <c r="P269" s="34"/>
      <c r="Q269" s="34"/>
      <c r="R269" s="34"/>
    </row>
    <row r="270" spans="12:18">
      <c r="L270" s="34"/>
      <c r="M270" s="34"/>
      <c r="N270" s="34"/>
      <c r="O270" s="34"/>
      <c r="P270" s="34"/>
      <c r="Q270" s="34"/>
      <c r="R270" s="34"/>
    </row>
    <row r="271" spans="12:18">
      <c r="L271" s="34"/>
      <c r="M271" s="34"/>
      <c r="N271" s="34"/>
      <c r="O271" s="34"/>
      <c r="P271" s="34"/>
      <c r="Q271" s="34"/>
      <c r="R271" s="34"/>
    </row>
    <row r="272" spans="12:18">
      <c r="L272" s="34"/>
      <c r="M272" s="34"/>
      <c r="N272" s="34"/>
      <c r="O272" s="34"/>
      <c r="P272" s="34"/>
      <c r="Q272" s="34"/>
      <c r="R272" s="34"/>
    </row>
    <row r="290" spans="1:19" ht="11.45" customHeight="1">
      <c r="G290" s="847"/>
      <c r="H290" s="847"/>
      <c r="I290" s="847"/>
      <c r="L290" s="34"/>
      <c r="M290" s="34"/>
      <c r="N290" s="34"/>
      <c r="O290" s="34"/>
      <c r="P290" s="34"/>
      <c r="Q290" s="34"/>
      <c r="R290" s="34"/>
    </row>
    <row r="291" spans="1:19" ht="11.45" customHeight="1">
      <c r="G291" s="847"/>
      <c r="H291" s="847"/>
      <c r="I291" s="847"/>
      <c r="L291" s="34"/>
      <c r="M291" s="34"/>
      <c r="N291" s="34"/>
      <c r="O291" s="34"/>
      <c r="P291" s="34"/>
      <c r="Q291" s="34"/>
      <c r="R291" s="34"/>
    </row>
    <row r="292" spans="1:19" ht="11.45" customHeight="1">
      <c r="E292" s="828"/>
      <c r="G292" s="847"/>
      <c r="H292" s="847"/>
      <c r="I292" s="847"/>
      <c r="L292" s="34"/>
      <c r="M292" s="34"/>
      <c r="N292" s="34"/>
      <c r="O292" s="34"/>
      <c r="P292" s="34"/>
      <c r="Q292" s="34"/>
      <c r="R292" s="34"/>
    </row>
    <row r="293" spans="1:19" ht="11.45" customHeight="1">
      <c r="G293" s="847"/>
      <c r="H293" s="847"/>
      <c r="I293" s="847"/>
      <c r="L293" s="34"/>
      <c r="M293" s="34"/>
      <c r="N293" s="34"/>
      <c r="O293" s="34"/>
      <c r="P293" s="34"/>
      <c r="Q293" s="34"/>
      <c r="R293" s="34"/>
    </row>
    <row r="294" spans="1:19">
      <c r="F294" s="847"/>
      <c r="G294" s="847"/>
      <c r="H294" s="847"/>
      <c r="I294" s="847"/>
      <c r="L294" s="34"/>
      <c r="M294" s="34"/>
      <c r="N294" s="34"/>
      <c r="O294" s="34"/>
      <c r="P294" s="34"/>
      <c r="Q294" s="34"/>
      <c r="R294" s="34"/>
    </row>
    <row r="295" spans="1:19" ht="12.75">
      <c r="F295" s="247"/>
      <c r="G295" s="247"/>
      <c r="H295" s="247"/>
      <c r="L295" s="34"/>
      <c r="M295" s="34"/>
      <c r="N295" s="34"/>
      <c r="O295" s="34"/>
      <c r="P295" s="34"/>
      <c r="Q295" s="34"/>
      <c r="R295" s="34"/>
    </row>
    <row r="296" spans="1:19" ht="12.75">
      <c r="F296" s="247"/>
      <c r="G296" s="247"/>
      <c r="H296" s="247"/>
      <c r="L296" s="34"/>
      <c r="M296" s="34"/>
      <c r="N296" s="34"/>
      <c r="O296" s="34"/>
      <c r="P296" s="34"/>
      <c r="Q296" s="34"/>
      <c r="R296" s="34"/>
    </row>
    <row r="297" spans="1:19" ht="12.75">
      <c r="F297" s="247"/>
      <c r="G297" s="247"/>
      <c r="H297" s="247"/>
      <c r="L297" s="34"/>
      <c r="M297" s="34"/>
      <c r="N297" s="34"/>
      <c r="O297" s="34"/>
      <c r="P297" s="34"/>
      <c r="Q297" s="34"/>
      <c r="R297" s="34"/>
    </row>
    <row r="298" spans="1:19" ht="12.75">
      <c r="F298" s="247"/>
      <c r="G298" s="247"/>
      <c r="H298" s="247"/>
      <c r="L298" s="34"/>
      <c r="M298" s="34"/>
      <c r="N298" s="34"/>
      <c r="O298" s="34"/>
      <c r="P298" s="34"/>
      <c r="Q298" s="34"/>
      <c r="R298" s="34"/>
    </row>
    <row r="299" spans="1:19" ht="12.75">
      <c r="F299" s="247"/>
      <c r="G299" s="247"/>
      <c r="H299" s="247"/>
      <c r="L299" s="34"/>
      <c r="M299" s="34"/>
      <c r="N299" s="34"/>
      <c r="O299" s="34"/>
      <c r="P299" s="34"/>
      <c r="Q299" s="34"/>
      <c r="R299" s="34"/>
    </row>
    <row r="300" spans="1:19" ht="12.75">
      <c r="F300" s="247"/>
      <c r="G300" s="247"/>
      <c r="H300" s="247"/>
      <c r="L300" s="34"/>
      <c r="M300" s="34"/>
      <c r="N300" s="34"/>
      <c r="O300" s="34"/>
      <c r="P300" s="34"/>
      <c r="Q300" s="34"/>
      <c r="R300" s="34"/>
    </row>
    <row r="301" spans="1:19" ht="12.75">
      <c r="F301" s="247"/>
      <c r="G301" s="247"/>
      <c r="H301" s="247"/>
      <c r="L301" s="34"/>
      <c r="M301" s="34"/>
      <c r="N301" s="34"/>
      <c r="O301" s="34"/>
      <c r="P301" s="34"/>
      <c r="Q301" s="34"/>
      <c r="R301" s="34"/>
    </row>
    <row r="302" spans="1:19" ht="12.75">
      <c r="A302" s="247"/>
      <c r="B302" s="247"/>
      <c r="C302" s="247"/>
      <c r="D302" s="247"/>
      <c r="E302" s="247"/>
      <c r="F302" s="247"/>
      <c r="G302" s="247"/>
      <c r="H302" s="247"/>
      <c r="L302" s="34"/>
      <c r="M302" s="34"/>
      <c r="N302" s="34"/>
      <c r="O302" s="34"/>
      <c r="P302" s="34"/>
      <c r="Q302" s="34"/>
      <c r="R302" s="34"/>
    </row>
    <row r="303" spans="1:19" ht="12.75">
      <c r="A303" s="247"/>
      <c r="B303" s="247"/>
      <c r="C303" s="247"/>
      <c r="D303" s="247"/>
      <c r="E303" s="247"/>
      <c r="F303" s="247"/>
      <c r="G303" s="247"/>
      <c r="H303" s="247"/>
      <c r="L303" s="34"/>
      <c r="M303" s="34"/>
      <c r="N303" s="34"/>
      <c r="O303" s="34"/>
      <c r="P303" s="34"/>
      <c r="Q303" s="34"/>
      <c r="R303" s="34"/>
    </row>
    <row r="304" spans="1:19" ht="11.45" customHeight="1">
      <c r="A304" s="833"/>
      <c r="B304" s="841"/>
      <c r="C304" s="841"/>
      <c r="D304" s="841"/>
      <c r="E304" s="862"/>
      <c r="H304" s="847"/>
      <c r="I304" s="847"/>
      <c r="L304" s="34"/>
      <c r="M304" s="34"/>
      <c r="N304" s="34"/>
      <c r="O304" s="34"/>
      <c r="P304" s="34"/>
      <c r="Q304" s="34"/>
      <c r="R304" s="34"/>
      <c r="S304" s="34"/>
    </row>
    <row r="305" spans="1:32" ht="11.45" customHeight="1">
      <c r="A305" s="841"/>
      <c r="B305" s="833"/>
      <c r="C305" s="833"/>
      <c r="D305" s="833"/>
      <c r="E305" s="883"/>
      <c r="F305" s="883"/>
      <c r="G305" s="883"/>
      <c r="H305" s="883"/>
      <c r="I305" s="883"/>
      <c r="J305" s="883"/>
      <c r="K305" s="883"/>
      <c r="L305" s="37"/>
      <c r="M305" s="37"/>
      <c r="N305" s="37"/>
      <c r="O305" s="37"/>
      <c r="P305" s="37"/>
      <c r="Q305" s="37"/>
      <c r="R305" s="37"/>
      <c r="S305" s="37"/>
      <c r="T305" s="37"/>
      <c r="U305" s="37"/>
      <c r="V305" s="37"/>
      <c r="W305" s="37"/>
      <c r="X305" s="37"/>
      <c r="Y305" s="37"/>
      <c r="Z305" s="37"/>
      <c r="AA305" s="37"/>
      <c r="AB305" s="37"/>
      <c r="AC305" s="37"/>
      <c r="AD305" s="37"/>
      <c r="AE305" s="37"/>
      <c r="AF305" s="37"/>
    </row>
    <row r="306" spans="1:32" ht="11.45" customHeight="1">
      <c r="A306" s="841"/>
      <c r="B306" s="833"/>
      <c r="C306" s="833"/>
      <c r="D306" s="833"/>
      <c r="E306" s="884"/>
      <c r="F306" s="884"/>
      <c r="G306" s="884"/>
      <c r="H306" s="884"/>
      <c r="I306" s="884"/>
      <c r="J306" s="884"/>
      <c r="K306" s="884"/>
      <c r="L306" s="38"/>
      <c r="M306" s="38"/>
      <c r="N306" s="38"/>
      <c r="O306" s="38"/>
      <c r="P306" s="38"/>
      <c r="Q306" s="38"/>
      <c r="R306" s="38"/>
      <c r="S306" s="38"/>
      <c r="T306" s="38"/>
      <c r="U306" s="38"/>
      <c r="V306" s="38"/>
      <c r="W306" s="38"/>
      <c r="X306" s="38"/>
      <c r="Y306" s="38"/>
      <c r="Z306" s="38"/>
      <c r="AA306" s="38"/>
      <c r="AB306" s="38"/>
      <c r="AC306" s="38"/>
      <c r="AD306" s="38"/>
      <c r="AE306" s="38"/>
      <c r="AF306" s="38"/>
    </row>
    <row r="307" spans="1:32" ht="11.45" customHeight="1">
      <c r="A307" s="833"/>
      <c r="B307" s="841"/>
      <c r="C307" s="841"/>
      <c r="D307" s="841"/>
      <c r="E307" s="862"/>
      <c r="H307" s="847"/>
      <c r="I307" s="847"/>
      <c r="L307" s="34"/>
      <c r="M307" s="34"/>
      <c r="N307" s="34"/>
      <c r="O307" s="34"/>
      <c r="P307" s="34"/>
      <c r="Q307" s="34"/>
      <c r="R307" s="34"/>
      <c r="S307" s="34"/>
    </row>
    <row r="308" spans="1:32" ht="11.45" customHeight="1">
      <c r="A308" s="833"/>
      <c r="B308" s="841"/>
      <c r="C308" s="841"/>
      <c r="D308" s="841"/>
      <c r="E308" s="841"/>
      <c r="F308" s="841"/>
      <c r="G308" s="841"/>
      <c r="H308" s="841"/>
      <c r="I308" s="841"/>
      <c r="J308" s="841"/>
      <c r="K308" s="841"/>
      <c r="L308" s="36"/>
      <c r="M308" s="36"/>
      <c r="N308" s="36"/>
      <c r="O308" s="36"/>
      <c r="P308" s="36"/>
      <c r="Q308" s="36"/>
      <c r="R308" s="36"/>
      <c r="S308" s="36"/>
      <c r="T308" s="36"/>
      <c r="U308" s="36"/>
      <c r="V308" s="36"/>
      <c r="W308" s="36"/>
      <c r="X308" s="36"/>
      <c r="Y308" s="36"/>
      <c r="Z308" s="36"/>
      <c r="AA308" s="36"/>
      <c r="AB308" s="36"/>
      <c r="AC308" s="36"/>
      <c r="AD308" s="36"/>
      <c r="AE308" s="36"/>
      <c r="AF308" s="36"/>
    </row>
    <row r="309" spans="1:32" ht="11.45" customHeight="1">
      <c r="A309" s="833"/>
      <c r="B309" s="833"/>
      <c r="C309" s="833"/>
      <c r="D309" s="833"/>
      <c r="E309" s="883"/>
      <c r="F309" s="883"/>
      <c r="G309" s="883"/>
      <c r="H309" s="883"/>
      <c r="I309" s="883"/>
      <c r="J309" s="883"/>
      <c r="K309" s="883"/>
      <c r="L309" s="37"/>
      <c r="M309" s="37"/>
      <c r="N309" s="37"/>
      <c r="O309" s="37"/>
      <c r="P309" s="37"/>
      <c r="Q309" s="37"/>
      <c r="R309" s="37"/>
      <c r="S309" s="37"/>
      <c r="T309" s="37"/>
      <c r="U309" s="37"/>
      <c r="V309" s="37"/>
      <c r="W309" s="37"/>
      <c r="X309" s="37"/>
      <c r="Y309" s="37"/>
      <c r="Z309" s="37"/>
      <c r="AA309" s="37"/>
      <c r="AB309" s="37"/>
      <c r="AC309" s="37"/>
      <c r="AD309" s="37"/>
      <c r="AE309" s="37"/>
      <c r="AF309" s="37"/>
    </row>
    <row r="310" spans="1:32" ht="11.45" customHeight="1">
      <c r="A310" s="833"/>
      <c r="B310" s="841"/>
      <c r="C310" s="841"/>
      <c r="D310" s="841"/>
      <c r="E310" s="841"/>
      <c r="F310" s="885"/>
      <c r="G310" s="885"/>
      <c r="H310" s="885"/>
      <c r="I310" s="885"/>
      <c r="J310" s="885"/>
      <c r="K310" s="885"/>
      <c r="L310" s="39"/>
      <c r="M310" s="39"/>
      <c r="N310" s="39"/>
      <c r="O310" s="39"/>
      <c r="P310" s="39"/>
      <c r="Q310" s="39"/>
      <c r="R310" s="39"/>
      <c r="S310" s="39"/>
      <c r="T310" s="39"/>
      <c r="U310" s="39"/>
      <c r="V310" s="39"/>
      <c r="W310" s="39"/>
      <c r="X310" s="39"/>
      <c r="Y310" s="39"/>
      <c r="Z310" s="39"/>
      <c r="AA310" s="39"/>
      <c r="AB310" s="39"/>
      <c r="AC310" s="39"/>
      <c r="AD310" s="39"/>
      <c r="AE310" s="39"/>
      <c r="AF310" s="39"/>
    </row>
    <row r="311" spans="1:32" ht="11.45" customHeight="1">
      <c r="A311" s="833"/>
      <c r="B311" s="833"/>
      <c r="C311" s="833"/>
      <c r="D311" s="833"/>
      <c r="E311" s="841"/>
      <c r="F311" s="885"/>
      <c r="G311" s="885"/>
      <c r="H311" s="885"/>
      <c r="I311" s="885"/>
      <c r="J311" s="885"/>
      <c r="K311" s="885"/>
      <c r="L311" s="39"/>
      <c r="M311" s="39"/>
      <c r="N311" s="39"/>
      <c r="O311" s="39"/>
      <c r="P311" s="39"/>
      <c r="Q311" s="39"/>
      <c r="R311" s="39"/>
      <c r="S311" s="39"/>
      <c r="T311" s="39"/>
      <c r="U311" s="39"/>
      <c r="V311" s="39"/>
      <c r="W311" s="39"/>
      <c r="X311" s="39"/>
      <c r="Y311" s="39"/>
      <c r="Z311" s="39"/>
      <c r="AA311" s="39"/>
      <c r="AB311" s="39"/>
      <c r="AC311" s="39"/>
      <c r="AD311" s="39"/>
      <c r="AE311" s="39"/>
      <c r="AF311" s="39"/>
    </row>
    <row r="312" spans="1:32" ht="11.45" customHeight="1">
      <c r="A312" s="833"/>
      <c r="B312" s="833"/>
      <c r="C312" s="833"/>
      <c r="D312" s="833"/>
      <c r="E312" s="841"/>
      <c r="F312" s="885"/>
      <c r="G312" s="885"/>
      <c r="H312" s="885"/>
      <c r="I312" s="885"/>
      <c r="J312" s="885"/>
      <c r="K312" s="885"/>
      <c r="L312" s="39"/>
      <c r="M312" s="39"/>
      <c r="N312" s="39"/>
      <c r="O312" s="39"/>
      <c r="P312" s="39"/>
      <c r="Q312" s="39"/>
      <c r="R312" s="39"/>
      <c r="S312" s="39"/>
      <c r="T312" s="39"/>
      <c r="U312" s="39"/>
      <c r="V312" s="39"/>
      <c r="W312" s="39"/>
      <c r="X312" s="39"/>
      <c r="Y312" s="39"/>
      <c r="Z312" s="39"/>
      <c r="AA312" s="39"/>
      <c r="AB312" s="39"/>
      <c r="AC312" s="39"/>
      <c r="AD312" s="39"/>
      <c r="AE312" s="39"/>
      <c r="AF312" s="39"/>
    </row>
  </sheetData>
  <customSheetViews>
    <customSheetView guid="{9D7575BF-255B-11D2-8267-00A0D1027254}" showPageBreaks="1" showRuler="0">
      <pageMargins left="0.39" right="0.24" top="1" bottom="1" header="0.5" footer="0.5"/>
      <pageSetup scale="68" orientation="landscape" r:id="rId1"/>
      <headerFooter alignWithMargins="0">
        <oddFooter>&amp;L&amp;D   &amp;T&amp;RO:\Naes\GenSvcs\TVA\TVA Model\&amp;F
&amp;A &amp;P</oddFooter>
      </headerFooter>
    </customSheetView>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83"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F44"/>
  <sheetViews>
    <sheetView zoomScaleNormal="75" zoomScaleSheetLayoutView="85" workbookViewId="0">
      <selection activeCell="C7" sqref="C7"/>
    </sheetView>
  </sheetViews>
  <sheetFormatPr defaultColWidth="8.7109375" defaultRowHeight="12.75"/>
  <cols>
    <col min="1" max="1" width="27" style="247" customWidth="1"/>
    <col min="2" max="2" width="8.7109375" style="247" customWidth="1"/>
    <col min="3" max="4" width="6.5703125" style="247" bestFit="1" customWidth="1"/>
    <col min="5" max="5" width="9.28515625" style="247" customWidth="1"/>
    <col min="6" max="6" width="7.28515625" style="247" customWidth="1"/>
    <col min="7" max="7" width="7" style="247" bestFit="1" customWidth="1"/>
    <col min="8" max="8" width="10.28515625" style="247" customWidth="1"/>
    <col min="9" max="9" width="7" style="247" bestFit="1" customWidth="1"/>
    <col min="10" max="10" width="9.42578125" style="247" customWidth="1"/>
    <col min="11" max="11" width="7" style="247" bestFit="1" customWidth="1"/>
    <col min="12" max="12" width="6.7109375" style="247" bestFit="1" customWidth="1"/>
    <col min="13" max="14" width="7" style="247" bestFit="1" customWidth="1"/>
    <col min="15" max="15" width="6.5703125" style="247" bestFit="1" customWidth="1"/>
    <col min="16" max="16" width="7.28515625" style="247" bestFit="1" customWidth="1"/>
    <col min="17" max="17" width="6.85546875" style="247" bestFit="1" customWidth="1"/>
    <col min="18" max="23" width="7.28515625" style="247" bestFit="1" customWidth="1"/>
    <col min="24" max="28" width="7.42578125" style="247" bestFit="1" customWidth="1"/>
    <col min="29" max="32" width="8.7109375" style="247" customWidth="1"/>
    <col min="33" max="16384" width="8.7109375" style="54"/>
  </cols>
  <sheetData>
    <row r="1" spans="1:32" ht="20.25">
      <c r="A1" s="501" t="str">
        <f>'Project Assumptions'!$A$2</f>
        <v>GLEASON, TN</v>
      </c>
      <c r="B1" s="502"/>
    </row>
    <row r="2" spans="1:32">
      <c r="A2" s="499" t="s">
        <v>390</v>
      </c>
      <c r="B2" s="504"/>
    </row>
    <row r="3" spans="1:32" s="46" customFormat="1" ht="11.25" customHeight="1">
      <c r="A3" s="57"/>
      <c r="B3" s="57"/>
      <c r="C3" s="256"/>
      <c r="D3" s="256"/>
      <c r="E3" s="256"/>
      <c r="F3" s="256"/>
      <c r="G3" s="256"/>
      <c r="H3" s="256"/>
      <c r="I3" s="256"/>
      <c r="J3" s="256"/>
      <c r="K3" s="256"/>
      <c r="L3" s="256"/>
      <c r="M3" s="256"/>
      <c r="N3" s="256"/>
      <c r="O3" s="256"/>
      <c r="P3" s="256"/>
      <c r="Q3" s="256"/>
      <c r="R3" s="57"/>
      <c r="S3" s="57"/>
      <c r="T3" s="57"/>
      <c r="U3" s="57"/>
      <c r="V3" s="57"/>
      <c r="W3" s="57"/>
      <c r="X3" s="57"/>
      <c r="Y3" s="57"/>
      <c r="Z3" s="57"/>
      <c r="AA3" s="57"/>
      <c r="AB3" s="57"/>
      <c r="AC3" s="57"/>
      <c r="AD3" s="57"/>
      <c r="AE3" s="57"/>
      <c r="AF3" s="57"/>
    </row>
    <row r="4" spans="1:32" s="42" customFormat="1" ht="11.25" customHeight="1">
      <c r="A4" s="205"/>
      <c r="B4" s="205"/>
      <c r="C4" s="257">
        <v>0</v>
      </c>
      <c r="D4" s="257">
        <v>1</v>
      </c>
      <c r="E4" s="257">
        <v>2</v>
      </c>
      <c r="F4" s="257">
        <v>3</v>
      </c>
      <c r="G4" s="257">
        <v>4</v>
      </c>
      <c r="H4" s="257">
        <v>5</v>
      </c>
      <c r="I4" s="257">
        <v>6</v>
      </c>
      <c r="J4" s="258">
        <v>7</v>
      </c>
      <c r="K4" s="257">
        <v>8</v>
      </c>
      <c r="L4" s="257">
        <v>9</v>
      </c>
      <c r="M4" s="257">
        <v>10</v>
      </c>
      <c r="N4" s="257">
        <v>11</v>
      </c>
      <c r="O4" s="257">
        <v>12</v>
      </c>
      <c r="P4" s="258">
        <v>13</v>
      </c>
      <c r="Q4" s="257">
        <v>14</v>
      </c>
      <c r="R4" s="257">
        <v>15</v>
      </c>
      <c r="S4" s="257">
        <v>16</v>
      </c>
      <c r="T4" s="257">
        <v>17</v>
      </c>
      <c r="U4" s="257">
        <v>18</v>
      </c>
      <c r="V4" s="258">
        <v>19</v>
      </c>
      <c r="W4" s="257">
        <v>20</v>
      </c>
      <c r="X4" s="257">
        <v>21</v>
      </c>
      <c r="Y4" s="257">
        <v>22</v>
      </c>
      <c r="Z4" s="257">
        <v>23</v>
      </c>
      <c r="AA4" s="257">
        <v>24</v>
      </c>
      <c r="AB4" s="258">
        <v>25</v>
      </c>
      <c r="AC4" s="205"/>
      <c r="AD4" s="205"/>
      <c r="AE4" s="205"/>
      <c r="AF4" s="205"/>
    </row>
    <row r="5" spans="1:32" s="42" customFormat="1" ht="11.25" customHeight="1">
      <c r="A5" s="644"/>
      <c r="B5" s="534"/>
      <c r="C5" s="505">
        <f>D5-1</f>
        <v>1999</v>
      </c>
      <c r="D5" s="505">
        <f>+YEAR('Project Assumptions'!$G$16)</f>
        <v>2000</v>
      </c>
      <c r="E5" s="505">
        <f t="shared" ref="E5:AB5" si="0">D5+1</f>
        <v>2001</v>
      </c>
      <c r="F5" s="505">
        <f t="shared" si="0"/>
        <v>2002</v>
      </c>
      <c r="G5" s="505">
        <f t="shared" si="0"/>
        <v>2003</v>
      </c>
      <c r="H5" s="505">
        <f t="shared" si="0"/>
        <v>2004</v>
      </c>
      <c r="I5" s="505">
        <f t="shared" si="0"/>
        <v>2005</v>
      </c>
      <c r="J5" s="505">
        <f t="shared" si="0"/>
        <v>2006</v>
      </c>
      <c r="K5" s="505">
        <f t="shared" si="0"/>
        <v>2007</v>
      </c>
      <c r="L5" s="505">
        <f t="shared" si="0"/>
        <v>2008</v>
      </c>
      <c r="M5" s="505">
        <f t="shared" si="0"/>
        <v>2009</v>
      </c>
      <c r="N5" s="505">
        <f t="shared" si="0"/>
        <v>2010</v>
      </c>
      <c r="O5" s="505">
        <f t="shared" si="0"/>
        <v>2011</v>
      </c>
      <c r="P5" s="505">
        <f t="shared" si="0"/>
        <v>2012</v>
      </c>
      <c r="Q5" s="505">
        <f t="shared" si="0"/>
        <v>2013</v>
      </c>
      <c r="R5" s="505">
        <f t="shared" si="0"/>
        <v>2014</v>
      </c>
      <c r="S5" s="505">
        <f t="shared" si="0"/>
        <v>2015</v>
      </c>
      <c r="T5" s="505">
        <f t="shared" si="0"/>
        <v>2016</v>
      </c>
      <c r="U5" s="505">
        <f t="shared" si="0"/>
        <v>2017</v>
      </c>
      <c r="V5" s="505">
        <f t="shared" si="0"/>
        <v>2018</v>
      </c>
      <c r="W5" s="505">
        <f t="shared" si="0"/>
        <v>2019</v>
      </c>
      <c r="X5" s="505">
        <f t="shared" si="0"/>
        <v>2020</v>
      </c>
      <c r="Y5" s="505">
        <f t="shared" si="0"/>
        <v>2021</v>
      </c>
      <c r="Z5" s="505">
        <f t="shared" si="0"/>
        <v>2022</v>
      </c>
      <c r="AA5" s="505">
        <f t="shared" si="0"/>
        <v>2023</v>
      </c>
      <c r="AB5" s="506">
        <f t="shared" si="0"/>
        <v>2024</v>
      </c>
      <c r="AC5" s="205"/>
      <c r="AD5" s="205"/>
      <c r="AE5" s="205"/>
      <c r="AF5" s="205"/>
    </row>
    <row r="6" spans="1:32" s="42" customFormat="1" ht="11.25" customHeight="1">
      <c r="A6" s="511" t="s">
        <v>257</v>
      </c>
      <c r="B6"/>
      <c r="C6" s="645"/>
      <c r="D6" s="646"/>
      <c r="E6" s="646"/>
      <c r="F6" s="646"/>
      <c r="G6" s="646"/>
      <c r="H6" s="646"/>
      <c r="I6" s="646"/>
      <c r="J6" s="646"/>
      <c r="K6" s="646"/>
      <c r="L6" s="646"/>
      <c r="M6" s="646"/>
      <c r="N6" s="646"/>
      <c r="O6" s="646"/>
      <c r="P6" s="646"/>
      <c r="Q6" s="646"/>
      <c r="R6" s="646"/>
      <c r="S6" s="646"/>
      <c r="T6" s="646"/>
      <c r="U6" s="646"/>
      <c r="V6" s="646"/>
      <c r="W6" s="646"/>
      <c r="X6" s="646"/>
      <c r="Y6" s="646"/>
      <c r="Z6" s="253"/>
      <c r="AA6" s="253"/>
      <c r="AB6" s="524"/>
      <c r="AC6" s="205"/>
      <c r="AD6" s="205"/>
      <c r="AE6" s="205"/>
      <c r="AF6" s="205"/>
    </row>
    <row r="7" spans="1:32" s="42" customFormat="1" ht="11.25" customHeight="1">
      <c r="A7" s="511" t="s">
        <v>127</v>
      </c>
      <c r="B7" s="253"/>
      <c r="C7" s="298"/>
      <c r="D7" s="290">
        <f>IF(D4&lt;=ProjectLife,'Project Assumptions'!$L$15,0)</f>
        <v>120</v>
      </c>
      <c r="E7" s="290">
        <f>IF(E4&lt;=ProjectLife,'Project Assumptions'!$L$15,0)</f>
        <v>120</v>
      </c>
      <c r="F7" s="290">
        <f>IF(F4&lt;=ProjectLife,'Project Assumptions'!$L$15,0)</f>
        <v>120</v>
      </c>
      <c r="G7" s="290">
        <f>IF(G4&lt;=ProjectLife,'Project Assumptions'!$L$15,0)</f>
        <v>120</v>
      </c>
      <c r="H7" s="290">
        <f>IF(H4&lt;=ProjectLife,'Project Assumptions'!$L$15,0)</f>
        <v>120</v>
      </c>
      <c r="I7" s="290">
        <f>IF(I4&lt;=ProjectLife,'Project Assumptions'!$L$15,0)</f>
        <v>120</v>
      </c>
      <c r="J7" s="290">
        <f>IF(J4&lt;=ProjectLife,'Project Assumptions'!$L$15,0)</f>
        <v>120</v>
      </c>
      <c r="K7" s="290">
        <f>IF(K4&lt;=ProjectLife,'Project Assumptions'!$L$15,0)</f>
        <v>120</v>
      </c>
      <c r="L7" s="290">
        <f>IF(L4&lt;=ProjectLife,'Project Assumptions'!$L$15,0)</f>
        <v>120</v>
      </c>
      <c r="M7" s="290">
        <f>IF(M4&lt;=ProjectLife,'Project Assumptions'!$L$15,0)</f>
        <v>120</v>
      </c>
      <c r="N7" s="290">
        <f>IF(N4&lt;=ProjectLife,'Project Assumptions'!$L$15,0)</f>
        <v>120</v>
      </c>
      <c r="O7" s="290">
        <f>IF(O4&lt;=ProjectLife,'Project Assumptions'!$L$15,0)</f>
        <v>120</v>
      </c>
      <c r="P7" s="290">
        <f>IF(P4&lt;=ProjectLife,'Project Assumptions'!$L$15,0)</f>
        <v>120</v>
      </c>
      <c r="Q7" s="290">
        <f>IF(Q4&lt;=ProjectLife,'Project Assumptions'!$L$15,0)</f>
        <v>120</v>
      </c>
      <c r="R7" s="290">
        <f>IF(R4&lt;=ProjectLife,'Project Assumptions'!$L$15,0)</f>
        <v>120</v>
      </c>
      <c r="S7" s="290">
        <f>IF(S4&lt;=ProjectLife,'Project Assumptions'!$L$15,0)</f>
        <v>120</v>
      </c>
      <c r="T7" s="290">
        <f>IF(T4&lt;=ProjectLife,'Project Assumptions'!$L$15,0)</f>
        <v>120</v>
      </c>
      <c r="U7" s="290">
        <f>IF(U4&lt;=ProjectLife,'Project Assumptions'!$L$15,0)</f>
        <v>120</v>
      </c>
      <c r="V7" s="290">
        <f>IF(V4&lt;=ProjectLife,'Project Assumptions'!$L$15,0)</f>
        <v>120</v>
      </c>
      <c r="W7" s="290">
        <f>IF(W4&lt;=ProjectLife,'Project Assumptions'!$L$15,0)</f>
        <v>120</v>
      </c>
      <c r="X7" s="290">
        <f>IF(X4&lt;=ProjectLife,'Project Assumptions'!$L$15,0)</f>
        <v>0</v>
      </c>
      <c r="Y7" s="290">
        <f>IF(Y4&lt;=ProjectLife,'Project Assumptions'!$L$15,0)</f>
        <v>0</v>
      </c>
      <c r="Z7" s="290">
        <f>IF(Z4&lt;=ProjectLife,'Project Assumptions'!$L$15,0)</f>
        <v>0</v>
      </c>
      <c r="AA7" s="290">
        <f>IF(AA4&lt;=ProjectLife,'Project Assumptions'!$L$15,0)</f>
        <v>0</v>
      </c>
      <c r="AB7" s="290">
        <f>IF(AB4&lt;=ProjectLife,'Project Assumptions'!$L$15,0)</f>
        <v>0</v>
      </c>
      <c r="AC7" s="205"/>
      <c r="AD7" s="205"/>
      <c r="AE7" s="205"/>
      <c r="AF7" s="205"/>
    </row>
    <row r="8" spans="1:32" s="42" customFormat="1" ht="11.25" customHeight="1">
      <c r="A8" s="511" t="s">
        <v>128</v>
      </c>
      <c r="B8" s="465"/>
      <c r="C8" s="298"/>
      <c r="D8" s="290">
        <f>D7</f>
        <v>120</v>
      </c>
      <c r="E8" s="290">
        <f>D8+E7</f>
        <v>240</v>
      </c>
      <c r="F8" s="290">
        <f t="shared" ref="F8:AB8" si="1">E8+F7</f>
        <v>360</v>
      </c>
      <c r="G8" s="290">
        <f t="shared" si="1"/>
        <v>480</v>
      </c>
      <c r="H8" s="290">
        <f t="shared" si="1"/>
        <v>600</v>
      </c>
      <c r="I8" s="290">
        <f t="shared" si="1"/>
        <v>720</v>
      </c>
      <c r="J8" s="290">
        <f t="shared" si="1"/>
        <v>840</v>
      </c>
      <c r="K8" s="290">
        <f t="shared" si="1"/>
        <v>960</v>
      </c>
      <c r="L8" s="290">
        <f t="shared" si="1"/>
        <v>1080</v>
      </c>
      <c r="M8" s="290">
        <f t="shared" si="1"/>
        <v>1200</v>
      </c>
      <c r="N8" s="290">
        <f t="shared" si="1"/>
        <v>1320</v>
      </c>
      <c r="O8" s="290">
        <f t="shared" si="1"/>
        <v>1440</v>
      </c>
      <c r="P8" s="290">
        <f t="shared" si="1"/>
        <v>1560</v>
      </c>
      <c r="Q8" s="290">
        <f t="shared" si="1"/>
        <v>1680</v>
      </c>
      <c r="R8" s="290">
        <f t="shared" si="1"/>
        <v>1800</v>
      </c>
      <c r="S8" s="290">
        <f t="shared" si="1"/>
        <v>1920</v>
      </c>
      <c r="T8" s="290">
        <f t="shared" si="1"/>
        <v>2040</v>
      </c>
      <c r="U8" s="290">
        <f t="shared" si="1"/>
        <v>2160</v>
      </c>
      <c r="V8" s="290">
        <f t="shared" si="1"/>
        <v>2280</v>
      </c>
      <c r="W8" s="290">
        <f t="shared" si="1"/>
        <v>2400</v>
      </c>
      <c r="X8" s="290">
        <f t="shared" si="1"/>
        <v>2400</v>
      </c>
      <c r="Y8" s="290">
        <f t="shared" si="1"/>
        <v>2400</v>
      </c>
      <c r="Z8" s="290">
        <f t="shared" si="1"/>
        <v>2400</v>
      </c>
      <c r="AA8" s="290">
        <f t="shared" si="1"/>
        <v>2400</v>
      </c>
      <c r="AB8" s="590">
        <f t="shared" si="1"/>
        <v>2400</v>
      </c>
      <c r="AC8" s="205"/>
      <c r="AD8" s="205"/>
      <c r="AE8" s="205"/>
      <c r="AF8" s="205"/>
    </row>
    <row r="9" spans="1:32" s="42" customFormat="1" ht="11.25" customHeight="1">
      <c r="A9" s="511"/>
      <c r="B9" s="465"/>
      <c r="C9" s="298"/>
      <c r="D9" s="290"/>
      <c r="E9" s="290"/>
      <c r="F9" s="290"/>
      <c r="G9" s="290"/>
      <c r="H9" s="290"/>
      <c r="I9" s="290"/>
      <c r="J9" s="290"/>
      <c r="K9" s="290"/>
      <c r="L9" s="290"/>
      <c r="M9" s="290"/>
      <c r="N9" s="290"/>
      <c r="O9" s="290"/>
      <c r="P9" s="290"/>
      <c r="Q9" s="290"/>
      <c r="R9" s="290"/>
      <c r="S9" s="290"/>
      <c r="T9" s="290"/>
      <c r="U9" s="290"/>
      <c r="V9" s="290"/>
      <c r="W9" s="290"/>
      <c r="X9" s="290"/>
      <c r="Y9" s="290"/>
      <c r="Z9" s="290"/>
      <c r="AA9" s="290"/>
      <c r="AB9" s="590"/>
      <c r="AC9" s="205"/>
      <c r="AD9" s="205"/>
      <c r="AE9" s="205"/>
      <c r="AF9" s="205"/>
    </row>
    <row r="10" spans="1:32" s="42" customFormat="1" ht="11.25" customHeight="1">
      <c r="A10" s="511"/>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524"/>
      <c r="AC10" s="205"/>
      <c r="AD10" s="205"/>
      <c r="AE10" s="205"/>
      <c r="AF10" s="205"/>
    </row>
    <row r="11" spans="1:32" s="42" customFormat="1" ht="11.25" customHeight="1">
      <c r="A11" s="511" t="s">
        <v>123</v>
      </c>
      <c r="B11" s="253"/>
      <c r="C11" s="645"/>
      <c r="D11" s="290">
        <f>'Book Income Statement'!D33</f>
        <v>2365.3332</v>
      </c>
      <c r="E11" s="290">
        <f>'Book Income Statement'!E33</f>
        <v>2436.2931960000001</v>
      </c>
      <c r="F11" s="290">
        <f>'Book Income Statement'!F33</f>
        <v>2509.38199188</v>
      </c>
      <c r="G11" s="290">
        <f>'Book Income Statement'!G33</f>
        <v>2584.6634516363997</v>
      </c>
      <c r="H11" s="290">
        <f>'Book Income Statement'!H33</f>
        <v>2662.2033551854915</v>
      </c>
      <c r="I11" s="290">
        <f>'Book Income Statement'!I33</f>
        <v>2742.0694558410564</v>
      </c>
      <c r="J11" s="290">
        <f>'Book Income Statement'!J33</f>
        <v>2824.3315395162881</v>
      </c>
      <c r="K11" s="290">
        <f>'Book Income Statement'!K33</f>
        <v>2909.0614857017767</v>
      </c>
      <c r="L11" s="290">
        <f>'Book Income Statement'!L33</f>
        <v>2996.3333302728302</v>
      </c>
      <c r="M11" s="290">
        <f>'Book Income Statement'!M33</f>
        <v>3086.2233301810152</v>
      </c>
      <c r="N11" s="290">
        <f>'Book Income Statement'!N33</f>
        <v>3178.8100300864457</v>
      </c>
      <c r="O11" s="290">
        <f>'Book Income Statement'!O33</f>
        <v>3274.1743309890385</v>
      </c>
      <c r="P11" s="290">
        <f>'Book Income Statement'!P33</f>
        <v>3372.3995609187091</v>
      </c>
      <c r="Q11" s="290">
        <f>'Book Income Statement'!Q33</f>
        <v>3473.5715477462709</v>
      </c>
      <c r="R11" s="290">
        <f>'Book Income Statement'!R33</f>
        <v>3577.7786941786594</v>
      </c>
      <c r="S11" s="290">
        <f>'Book Income Statement'!S33</f>
        <v>3685.1120550040182</v>
      </c>
      <c r="T11" s="290">
        <f>'Book Income Statement'!T33</f>
        <v>3795.6654166541393</v>
      </c>
      <c r="U11" s="290">
        <f>'Book Income Statement'!U33</f>
        <v>3909.5353791537632</v>
      </c>
      <c r="V11" s="290">
        <f>'Book Income Statement'!V33</f>
        <v>4026.8214405283761</v>
      </c>
      <c r="W11" s="290">
        <f>'Book Income Statement'!W33</f>
        <v>4147.6260837442278</v>
      </c>
      <c r="X11" s="290">
        <f>'Book Income Statement'!X33</f>
        <v>4272.0548662565534</v>
      </c>
      <c r="Y11" s="290">
        <f>'Book Income Statement'!Y33</f>
        <v>0</v>
      </c>
      <c r="Z11" s="290">
        <f>'Book Income Statement'!Z33</f>
        <v>0</v>
      </c>
      <c r="AA11" s="290">
        <f>'Book Income Statement'!AA33</f>
        <v>0</v>
      </c>
      <c r="AB11" s="590">
        <f>'Book Income Statement'!AB33</f>
        <v>0</v>
      </c>
      <c r="AC11" s="205"/>
      <c r="AD11" s="205"/>
      <c r="AE11" s="205"/>
      <c r="AF11" s="205"/>
    </row>
    <row r="12" spans="1:32" s="42" customFormat="1" ht="11.25" customHeight="1">
      <c r="A12" s="511" t="s">
        <v>677</v>
      </c>
      <c r="B12" s="253"/>
      <c r="C12" s="645"/>
      <c r="D12" s="290">
        <v>0</v>
      </c>
      <c r="E12" s="290">
        <v>0</v>
      </c>
      <c r="F12" s="290">
        <v>0</v>
      </c>
      <c r="G12" s="290">
        <f>786.69013987284*3</f>
        <v>2360.0704196185197</v>
      </c>
      <c r="H12" s="290">
        <v>0</v>
      </c>
      <c r="I12" s="290">
        <v>0</v>
      </c>
      <c r="J12" s="290">
        <f>2640.60560225593*3</f>
        <v>7921.8168067677907</v>
      </c>
      <c r="K12" s="290">
        <v>0</v>
      </c>
      <c r="L12" s="290">
        <v>0</v>
      </c>
      <c r="M12" s="290">
        <f>2389.54245479454*3</f>
        <v>7168.6273643836194</v>
      </c>
      <c r="N12" s="290">
        <v>0</v>
      </c>
      <c r="O12" s="290">
        <v>0</v>
      </c>
      <c r="P12" s="290">
        <v>0</v>
      </c>
      <c r="Q12" s="290">
        <f>10173.3245433799*3</f>
        <v>30519.973630139699</v>
      </c>
      <c r="R12" s="290">
        <v>0</v>
      </c>
      <c r="S12" s="290">
        <v>0</v>
      </c>
      <c r="T12" s="290">
        <f>1155.28099244319*3</f>
        <v>3465.8429773295697</v>
      </c>
      <c r="U12" s="290">
        <v>0</v>
      </c>
      <c r="V12" s="290">
        <v>0</v>
      </c>
      <c r="W12" s="290">
        <f>10953.7287015803*3</f>
        <v>32861.186104740897</v>
      </c>
      <c r="X12" s="290"/>
      <c r="Y12" s="290"/>
      <c r="Z12" s="290"/>
      <c r="AA12" s="290"/>
      <c r="AB12" s="590"/>
      <c r="AC12" s="205"/>
      <c r="AD12" s="205"/>
      <c r="AE12" s="205"/>
      <c r="AF12" s="205"/>
    </row>
    <row r="13" spans="1:32" s="42" customFormat="1" ht="11.25" customHeight="1">
      <c r="A13" s="511" t="s">
        <v>126</v>
      </c>
      <c r="B13" s="253"/>
      <c r="C13" s="645"/>
      <c r="D13" s="290">
        <f>D11</f>
        <v>2365.3332</v>
      </c>
      <c r="E13" s="290">
        <f>D13+E11-E12</f>
        <v>4801.6263959999997</v>
      </c>
      <c r="F13" s="290">
        <f t="shared" ref="F13:AB13" si="2">E13+F11-F12</f>
        <v>7311.0083878799996</v>
      </c>
      <c r="G13" s="290">
        <f t="shared" si="2"/>
        <v>7535.6014198978792</v>
      </c>
      <c r="H13" s="290">
        <f t="shared" si="2"/>
        <v>10197.80477508337</v>
      </c>
      <c r="I13" s="290">
        <f t="shared" si="2"/>
        <v>12939.874230924426</v>
      </c>
      <c r="J13" s="290">
        <f t="shared" si="2"/>
        <v>7842.3889636729236</v>
      </c>
      <c r="K13" s="290">
        <f t="shared" si="2"/>
        <v>10751.450449374701</v>
      </c>
      <c r="L13" s="290">
        <f t="shared" si="2"/>
        <v>13747.783779647531</v>
      </c>
      <c r="M13" s="290">
        <f t="shared" si="2"/>
        <v>9665.379745444925</v>
      </c>
      <c r="N13" s="290">
        <f t="shared" si="2"/>
        <v>12844.189775531371</v>
      </c>
      <c r="O13" s="290">
        <f t="shared" si="2"/>
        <v>16118.36410652041</v>
      </c>
      <c r="P13" s="290">
        <f t="shared" si="2"/>
        <v>19490.763667439118</v>
      </c>
      <c r="Q13" s="290">
        <f t="shared" si="2"/>
        <v>-7555.6384149543082</v>
      </c>
      <c r="R13" s="290">
        <f t="shared" si="2"/>
        <v>-3977.8597207756488</v>
      </c>
      <c r="S13" s="290">
        <f t="shared" si="2"/>
        <v>-292.74766577163064</v>
      </c>
      <c r="T13" s="290">
        <f t="shared" si="2"/>
        <v>37.07477355293895</v>
      </c>
      <c r="U13" s="290">
        <f t="shared" si="2"/>
        <v>3946.6101527067021</v>
      </c>
      <c r="V13" s="290">
        <f t="shared" si="2"/>
        <v>7973.4315932350783</v>
      </c>
      <c r="W13" s="290">
        <f t="shared" si="2"/>
        <v>-20740.128427761592</v>
      </c>
      <c r="X13" s="290">
        <f t="shared" si="2"/>
        <v>-16468.07356150504</v>
      </c>
      <c r="Y13" s="290">
        <f t="shared" si="2"/>
        <v>-16468.07356150504</v>
      </c>
      <c r="Z13" s="290">
        <f t="shared" si="2"/>
        <v>-16468.07356150504</v>
      </c>
      <c r="AA13" s="290">
        <f t="shared" si="2"/>
        <v>-16468.07356150504</v>
      </c>
      <c r="AB13" s="590">
        <f t="shared" si="2"/>
        <v>-16468.07356150504</v>
      </c>
      <c r="AC13" s="205"/>
      <c r="AD13" s="205"/>
      <c r="AE13" s="205"/>
      <c r="AF13" s="205"/>
    </row>
    <row r="14" spans="1:32" s="42" customFormat="1" ht="11.25">
      <c r="A14" s="544" t="s">
        <v>125</v>
      </c>
      <c r="B14" s="545"/>
      <c r="C14" s="545"/>
      <c r="D14" s="547">
        <f>D13*'Project Assumptions'!$U$19*'PPA Assumptions &amp;Summary'!C5/12</f>
        <v>18.614517396744134</v>
      </c>
      <c r="E14" s="547">
        <f>E13*'Project Assumptions'!$U$19*'PPA Assumptions &amp;Summary'!D5/12</f>
        <v>64.778520540669575</v>
      </c>
      <c r="F14" s="547">
        <f>F13*'Project Assumptions'!$U$19*'PPA Assumptions &amp;Summary'!E5/12</f>
        <v>98.632477408451038</v>
      </c>
      <c r="G14" s="547">
        <f>G13*'Project Assumptions'!$U$19*'PPA Assumptions &amp;Summary'!F5/12</f>
        <v>101.66245165842211</v>
      </c>
      <c r="H14" s="547">
        <f>H13*'Project Assumptions'!$U$19*'PPA Assumptions &amp;Summary'!G5/12</f>
        <v>137.57811449945146</v>
      </c>
      <c r="I14" s="547">
        <f>I13*'Project Assumptions'!$U$19*'PPA Assumptions &amp;Summary'!H5/12</f>
        <v>174.57124722571166</v>
      </c>
      <c r="J14" s="547">
        <f>J13*'Project Assumptions'!$U$19*'PPA Assumptions &amp;Summary'!I5/12</f>
        <v>105.80130828054682</v>
      </c>
      <c r="K14" s="547">
        <f>K13*'Project Assumptions'!$U$19*'PPA Assumptions &amp;Summary'!J5/12</f>
        <v>145.04732278983627</v>
      </c>
      <c r="L14" s="547">
        <f>L13*'Project Assumptions'!$U$19*'PPA Assumptions &amp;Summary'!K5/12</f>
        <v>185.47071773440442</v>
      </c>
      <c r="M14" s="547">
        <f>M13*'Project Assumptions'!$U$19*'PPA Assumptions &amp;Summary'!L5/12</f>
        <v>130.39519294863436</v>
      </c>
      <c r="N14" s="547">
        <f>N13*'Project Assumptions'!$U$19*'PPA Assumptions &amp;Summary'!M5/12</f>
        <v>173.28037264532671</v>
      </c>
      <c r="O14" s="547">
        <f>O13*'Project Assumptions'!$U$19*'PPA Assumptions &amp;Summary'!N5/12</f>
        <v>217.45210773291987</v>
      </c>
      <c r="P14" s="547">
        <f>P13*'Project Assumptions'!$U$19*'PPA Assumptions &amp;Summary'!O5/12</f>
        <v>262.94899487314075</v>
      </c>
      <c r="Q14" s="547">
        <f>Q13*'Project Assumptions'!$U$19*'PPA Assumptions &amp;Summary'!P5/12</f>
        <v>-101.93276983580415</v>
      </c>
      <c r="R14" s="547">
        <f>R13*'Project Assumptions'!$U$19*'PPA Assumptions &amp;Summary'!Q5/12</f>
        <v>-53.665122268743779</v>
      </c>
      <c r="S14" s="547">
        <f>S13*'Project Assumptions'!$U$19*'PPA Assumptions &amp;Summary'!R5/12</f>
        <v>-3.9494452746716049</v>
      </c>
      <c r="T14" s="547">
        <f>T13*'Project Assumptions'!$U$19*'PPA Assumptions &amp;Summary'!S5/12</f>
        <v>0.50017406230114558</v>
      </c>
      <c r="U14" s="547">
        <f>U13*'Project Assumptions'!$U$19*'PPA Assumptions &amp;Summary'!T5/12</f>
        <v>53.243535785312325</v>
      </c>
      <c r="V14" s="547">
        <f>V13*'Project Assumptions'!$U$19*'PPA Assumptions &amp;Summary'!U5/12</f>
        <v>107.5691983600138</v>
      </c>
      <c r="W14" s="547">
        <f>W13*'Project Assumptions'!$U$19*'PPA Assumptions &amp;Summary'!V5/12</f>
        <v>-279.80411730764723</v>
      </c>
      <c r="X14" s="547">
        <f>X13*'Project Assumptions'!$U$19*'PPA Assumptions &amp;Summary'!W5/12</f>
        <v>-92.570842450894347</v>
      </c>
      <c r="Y14" s="547">
        <f>Y13*'Project Assumptions'!$U$19*'PPA Assumptions &amp;Summary'!X5/12</f>
        <v>0</v>
      </c>
      <c r="Z14" s="547">
        <f>Z13*'Project Assumptions'!$U$19*'PPA Assumptions &amp;Summary'!Y5/12</f>
        <v>0</v>
      </c>
      <c r="AA14" s="547">
        <f>AA13*'Project Assumptions'!$U$19*'PPA Assumptions &amp;Summary'!Z5/12</f>
        <v>0</v>
      </c>
      <c r="AB14" s="548">
        <f>AB13*'Project Assumptions'!$U$19*'PPA Assumptions &amp;Summary'!AA5/12</f>
        <v>0</v>
      </c>
      <c r="AC14" s="205"/>
      <c r="AD14" s="205"/>
      <c r="AE14" s="205"/>
      <c r="AF14" s="205"/>
    </row>
    <row r="15" spans="1:32" s="42" customFormat="1" ht="11.25" hidden="1">
      <c r="A15" s="205" t="s">
        <v>124</v>
      </c>
      <c r="B15" s="205"/>
      <c r="C15" s="205"/>
      <c r="D15" s="262">
        <f>D14</f>
        <v>18.614517396744134</v>
      </c>
      <c r="E15" s="262">
        <f t="shared" ref="E15:AB15" si="3">D15+E14</f>
        <v>83.393037937413709</v>
      </c>
      <c r="F15" s="262">
        <f t="shared" si="3"/>
        <v>182.02551534586473</v>
      </c>
      <c r="G15" s="262">
        <f t="shared" si="3"/>
        <v>283.68796700428686</v>
      </c>
      <c r="H15" s="262">
        <f t="shared" si="3"/>
        <v>421.26608150373829</v>
      </c>
      <c r="I15" s="262">
        <f t="shared" si="3"/>
        <v>595.83732872944995</v>
      </c>
      <c r="J15" s="262">
        <f t="shared" si="3"/>
        <v>701.63863700999673</v>
      </c>
      <c r="K15" s="262">
        <f t="shared" si="3"/>
        <v>846.68595979983297</v>
      </c>
      <c r="L15" s="262">
        <f t="shared" si="3"/>
        <v>1032.1566775342374</v>
      </c>
      <c r="M15" s="262">
        <f t="shared" si="3"/>
        <v>1162.5518704828717</v>
      </c>
      <c r="N15" s="262">
        <f t="shared" si="3"/>
        <v>1335.8322431281983</v>
      </c>
      <c r="O15" s="262">
        <f t="shared" si="3"/>
        <v>1553.2843508611181</v>
      </c>
      <c r="P15" s="262">
        <f t="shared" si="3"/>
        <v>1816.2333457342588</v>
      </c>
      <c r="Q15" s="262">
        <f t="shared" si="3"/>
        <v>1714.3005758984546</v>
      </c>
      <c r="R15" s="262">
        <f t="shared" si="3"/>
        <v>1660.6354536297108</v>
      </c>
      <c r="S15" s="262">
        <f t="shared" si="3"/>
        <v>1656.6860083550391</v>
      </c>
      <c r="T15" s="262">
        <f t="shared" si="3"/>
        <v>1657.1861824173402</v>
      </c>
      <c r="U15" s="262">
        <f t="shared" si="3"/>
        <v>1710.4297182026526</v>
      </c>
      <c r="V15" s="262">
        <f t="shared" si="3"/>
        <v>1817.9989165626664</v>
      </c>
      <c r="W15" s="262">
        <f t="shared" si="3"/>
        <v>1538.1947992550192</v>
      </c>
      <c r="X15" s="262">
        <f t="shared" si="3"/>
        <v>1445.6239568041249</v>
      </c>
      <c r="Y15" s="262">
        <f t="shared" si="3"/>
        <v>1445.6239568041249</v>
      </c>
      <c r="Z15" s="262">
        <f t="shared" si="3"/>
        <v>1445.6239568041249</v>
      </c>
      <c r="AA15" s="262">
        <f t="shared" si="3"/>
        <v>1445.6239568041249</v>
      </c>
      <c r="AB15" s="262">
        <f t="shared" si="3"/>
        <v>1445.6239568041249</v>
      </c>
      <c r="AC15" s="205"/>
      <c r="AD15" s="205"/>
      <c r="AE15" s="205"/>
      <c r="AF15" s="205"/>
    </row>
    <row r="16" spans="1:32" s="42" customFormat="1" ht="11.25">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row>
    <row r="17" spans="1:32" s="42" customFormat="1" ht="11.25">
      <c r="A17" s="205"/>
      <c r="B17" s="205"/>
      <c r="C17" s="205"/>
      <c r="D17" s="263"/>
      <c r="E17" s="264"/>
      <c r="F17" s="264"/>
      <c r="G17" s="264"/>
      <c r="H17" s="264"/>
      <c r="I17" s="264"/>
      <c r="J17" s="264"/>
      <c r="K17" s="264"/>
      <c r="L17" s="205"/>
      <c r="M17" s="205"/>
      <c r="N17" s="205"/>
      <c r="O17" s="205"/>
      <c r="P17" s="205"/>
      <c r="Q17" s="205"/>
      <c r="R17" s="205"/>
      <c r="S17" s="205"/>
      <c r="T17" s="205"/>
      <c r="U17" s="205"/>
      <c r="V17" s="205"/>
      <c r="W17" s="205"/>
      <c r="X17" s="205"/>
      <c r="Y17" s="205"/>
      <c r="Z17" s="205"/>
      <c r="AA17" s="205"/>
      <c r="AB17" s="205"/>
      <c r="AC17" s="205"/>
      <c r="AD17" s="205"/>
      <c r="AE17" s="205"/>
      <c r="AF17" s="205"/>
    </row>
    <row r="18" spans="1:32" s="42" customFormat="1">
      <c r="A18" t="s">
        <v>511</v>
      </c>
      <c r="B18"/>
      <c r="C18" s="910">
        <v>6.5000000000000002E-2</v>
      </c>
      <c r="D18"/>
      <c r="E18"/>
      <c r="F18" s="205"/>
      <c r="G18" s="264"/>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row>
    <row r="19" spans="1:32" s="42" customFormat="1" ht="38.25">
      <c r="A19" s="911" t="s">
        <v>512</v>
      </c>
      <c r="B19" s="912">
        <v>0.05</v>
      </c>
      <c r="C19" s="913"/>
      <c r="D19" s="913"/>
      <c r="E19" s="911" t="s">
        <v>519</v>
      </c>
      <c r="F19" s="922" t="s">
        <v>515</v>
      </c>
      <c r="G19" s="923" t="s">
        <v>445</v>
      </c>
      <c r="H19" s="922" t="s">
        <v>516</v>
      </c>
      <c r="I19" s="923" t="s">
        <v>517</v>
      </c>
      <c r="J19" s="924" t="s">
        <v>518</v>
      </c>
      <c r="K19" s="205"/>
      <c r="L19" s="205"/>
      <c r="M19" s="205"/>
      <c r="N19" s="205"/>
      <c r="O19" s="205"/>
      <c r="P19" s="205"/>
      <c r="Q19" s="205"/>
      <c r="R19" s="205"/>
      <c r="S19" s="205"/>
      <c r="T19" s="205"/>
      <c r="U19" s="205"/>
      <c r="V19" s="205"/>
      <c r="W19" s="205"/>
      <c r="X19" s="205"/>
      <c r="Y19" s="205"/>
      <c r="Z19" s="205"/>
      <c r="AA19" s="205"/>
      <c r="AB19" s="205"/>
      <c r="AC19" s="205"/>
      <c r="AD19" s="205"/>
      <c r="AE19" s="205"/>
      <c r="AF19" s="205"/>
    </row>
    <row r="20" spans="1:32" s="42" customFormat="1">
      <c r="A20" s="914" t="s">
        <v>513</v>
      </c>
      <c r="B20" s="915">
        <v>2.5</v>
      </c>
      <c r="C20" s="916"/>
      <c r="D20" s="916"/>
      <c r="E20" s="925"/>
      <c r="F20" s="919"/>
      <c r="G20" s="919"/>
      <c r="H20" s="919"/>
      <c r="I20" s="919"/>
      <c r="J20" s="918"/>
      <c r="K20" s="205"/>
      <c r="L20" s="205"/>
      <c r="M20" s="205"/>
      <c r="N20" s="205"/>
      <c r="O20" s="205"/>
      <c r="P20" s="205"/>
      <c r="Q20" s="205"/>
      <c r="R20" s="205"/>
      <c r="S20" s="205"/>
      <c r="T20" s="205"/>
      <c r="U20" s="205"/>
      <c r="V20" s="205"/>
      <c r="W20" s="205"/>
      <c r="X20" s="205"/>
      <c r="Y20" s="205"/>
      <c r="Z20" s="205"/>
      <c r="AA20" s="205"/>
      <c r="AB20" s="205"/>
      <c r="AC20" s="205"/>
      <c r="AD20" s="205"/>
      <c r="AE20" s="205"/>
      <c r="AF20" s="205"/>
    </row>
    <row r="21" spans="1:32" s="42" customFormat="1">
      <c r="A21" s="914" t="s">
        <v>514</v>
      </c>
      <c r="B21" s="915">
        <f>'Project Assumptions'!N59</f>
        <v>0</v>
      </c>
      <c r="C21" s="916"/>
      <c r="D21" s="916"/>
      <c r="E21" s="925">
        <v>20</v>
      </c>
      <c r="F21" s="926">
        <f>1374*3</f>
        <v>4122</v>
      </c>
      <c r="G21" s="926">
        <f>$B$21*($B$23+$B$24)*$B$20*(1+$B$19)</f>
        <v>0</v>
      </c>
      <c r="H21" s="926">
        <f>G21+F21</f>
        <v>4122</v>
      </c>
      <c r="I21" s="913">
        <f>G21/H21</f>
        <v>0</v>
      </c>
      <c r="J21" s="927">
        <f>1-I21</f>
        <v>1</v>
      </c>
      <c r="K21" s="205"/>
      <c r="L21" s="205"/>
      <c r="M21" s="205"/>
      <c r="N21" s="205"/>
      <c r="O21" s="205"/>
      <c r="P21" s="205"/>
      <c r="Q21" s="205"/>
      <c r="R21" s="205"/>
      <c r="S21" s="205"/>
      <c r="T21" s="205"/>
      <c r="U21" s="205"/>
      <c r="V21" s="205"/>
      <c r="W21" s="205"/>
      <c r="X21" s="205"/>
      <c r="Y21" s="205"/>
      <c r="Z21" s="205"/>
      <c r="AA21" s="205"/>
      <c r="AB21" s="205"/>
      <c r="AC21" s="205"/>
      <c r="AD21" s="205"/>
      <c r="AE21" s="205"/>
      <c r="AF21" s="205"/>
    </row>
    <row r="22" spans="1:32" s="42" customFormat="1">
      <c r="A22" s="917"/>
      <c r="B22" s="918"/>
      <c r="C22" s="919"/>
      <c r="D22" s="919"/>
      <c r="E22" s="925">
        <v>30</v>
      </c>
      <c r="F22" s="926">
        <f>1374*3</f>
        <v>4122</v>
      </c>
      <c r="G22" s="926">
        <f t="shared" ref="G22:G44" si="4">$B$21*($B$23+$B$24)*$B$20*(1+$B$19)</f>
        <v>0</v>
      </c>
      <c r="H22" s="926">
        <f t="shared" ref="H22:H44" si="5">G22+F22</f>
        <v>4122</v>
      </c>
      <c r="I22" s="913">
        <f t="shared" ref="I22:I44" si="6">G22/H22</f>
        <v>0</v>
      </c>
      <c r="J22" s="927">
        <f t="shared" ref="J22:J44" si="7">1-I22</f>
        <v>1</v>
      </c>
      <c r="K22" s="205"/>
      <c r="L22" s="205"/>
      <c r="M22" s="205"/>
      <c r="N22" s="205"/>
      <c r="O22" s="205"/>
      <c r="P22" s="205"/>
      <c r="Q22" s="205"/>
      <c r="R22" s="205"/>
      <c r="S22" s="205"/>
      <c r="T22" s="205"/>
      <c r="U22" s="205"/>
      <c r="V22" s="205"/>
      <c r="W22" s="205"/>
      <c r="X22" s="205"/>
      <c r="Y22" s="205"/>
      <c r="Z22" s="205"/>
      <c r="AA22" s="205"/>
      <c r="AB22" s="205"/>
      <c r="AC22" s="205"/>
      <c r="AD22" s="205"/>
      <c r="AE22" s="205"/>
      <c r="AF22" s="205"/>
    </row>
    <row r="23" spans="1:32" s="42" customFormat="1">
      <c r="A23" s="917" t="s">
        <v>377</v>
      </c>
      <c r="B23" s="918">
        <v>1</v>
      </c>
      <c r="C23" s="919"/>
      <c r="D23" s="919"/>
      <c r="E23" s="925">
        <v>40</v>
      </c>
      <c r="F23" s="926">
        <f>3334*3</f>
        <v>10002</v>
      </c>
      <c r="G23" s="926">
        <f t="shared" si="4"/>
        <v>0</v>
      </c>
      <c r="H23" s="926">
        <f t="shared" si="5"/>
        <v>10002</v>
      </c>
      <c r="I23" s="913">
        <f t="shared" si="6"/>
        <v>0</v>
      </c>
      <c r="J23" s="927">
        <f t="shared" si="7"/>
        <v>1</v>
      </c>
      <c r="K23" s="205"/>
      <c r="L23" s="205"/>
      <c r="M23" s="205"/>
      <c r="N23" s="205"/>
      <c r="O23" s="205"/>
      <c r="P23" s="205"/>
      <c r="Q23" s="205"/>
      <c r="R23" s="205"/>
      <c r="S23" s="205"/>
      <c r="T23" s="205"/>
      <c r="U23" s="205"/>
      <c r="V23" s="205"/>
      <c r="W23" s="205"/>
      <c r="X23" s="205"/>
      <c r="Y23" s="205"/>
      <c r="Z23" s="205"/>
      <c r="AA23" s="205"/>
      <c r="AB23" s="205"/>
      <c r="AC23" s="205"/>
      <c r="AD23" s="205"/>
      <c r="AE23" s="205"/>
      <c r="AF23" s="205"/>
    </row>
    <row r="24" spans="1:32" s="42" customFormat="1">
      <c r="A24" s="920" t="s">
        <v>376</v>
      </c>
      <c r="B24" s="921">
        <v>2</v>
      </c>
      <c r="C24" s="919"/>
      <c r="D24" s="919"/>
      <c r="E24" s="925">
        <v>50</v>
      </c>
      <c r="F24" s="926">
        <f>3334*3</f>
        <v>10002</v>
      </c>
      <c r="G24" s="926">
        <f t="shared" si="4"/>
        <v>0</v>
      </c>
      <c r="H24" s="926">
        <f t="shared" si="5"/>
        <v>10002</v>
      </c>
      <c r="I24" s="913">
        <f t="shared" si="6"/>
        <v>0</v>
      </c>
      <c r="J24" s="927">
        <f t="shared" si="7"/>
        <v>1</v>
      </c>
      <c r="K24" s="205"/>
      <c r="L24" s="205"/>
      <c r="M24" s="205"/>
      <c r="N24" s="205"/>
      <c r="O24" s="205"/>
      <c r="P24" s="205"/>
      <c r="Q24" s="205"/>
      <c r="R24" s="205"/>
      <c r="S24" s="205"/>
      <c r="T24" s="205"/>
      <c r="U24" s="205"/>
      <c r="V24" s="205"/>
      <c r="W24" s="205"/>
      <c r="X24" s="205"/>
      <c r="Y24" s="205"/>
      <c r="Z24" s="205"/>
      <c r="AA24" s="205"/>
      <c r="AB24" s="205"/>
      <c r="AC24" s="205"/>
      <c r="AD24" s="205"/>
      <c r="AE24" s="205"/>
      <c r="AF24" s="205"/>
    </row>
    <row r="25" spans="1:32" s="42" customFormat="1">
      <c r="A25"/>
      <c r="B25"/>
      <c r="C25"/>
      <c r="D25"/>
      <c r="E25" s="925">
        <v>60</v>
      </c>
      <c r="F25" s="926">
        <f>3334*3</f>
        <v>10002</v>
      </c>
      <c r="G25" s="926">
        <f t="shared" si="4"/>
        <v>0</v>
      </c>
      <c r="H25" s="926">
        <f t="shared" si="5"/>
        <v>10002</v>
      </c>
      <c r="I25" s="913">
        <f t="shared" si="6"/>
        <v>0</v>
      </c>
      <c r="J25" s="927">
        <f t="shared" si="7"/>
        <v>1</v>
      </c>
      <c r="K25" s="205"/>
      <c r="L25" s="205"/>
      <c r="M25" s="205"/>
      <c r="N25" s="205"/>
      <c r="O25" s="205"/>
      <c r="P25" s="205"/>
      <c r="Q25" s="205"/>
      <c r="R25" s="205"/>
      <c r="S25" s="205"/>
      <c r="T25" s="205"/>
      <c r="U25" s="205"/>
      <c r="V25" s="205"/>
      <c r="W25" s="205"/>
      <c r="X25" s="205"/>
      <c r="Y25" s="205"/>
      <c r="Z25" s="205"/>
      <c r="AA25" s="205"/>
      <c r="AB25" s="205"/>
      <c r="AC25" s="205"/>
      <c r="AD25" s="205"/>
      <c r="AE25" s="205"/>
      <c r="AF25" s="205"/>
    </row>
    <row r="26" spans="1:32" s="42" customFormat="1">
      <c r="E26" s="925">
        <v>70</v>
      </c>
      <c r="F26" s="926">
        <f>3334*3</f>
        <v>10002</v>
      </c>
      <c r="G26" s="926">
        <f t="shared" si="4"/>
        <v>0</v>
      </c>
      <c r="H26" s="926">
        <f t="shared" si="5"/>
        <v>10002</v>
      </c>
      <c r="I26" s="913">
        <f t="shared" si="6"/>
        <v>0</v>
      </c>
      <c r="J26" s="927">
        <f t="shared" si="7"/>
        <v>1</v>
      </c>
      <c r="K26" s="205"/>
      <c r="L26" s="205"/>
      <c r="M26" s="205"/>
      <c r="N26" s="205"/>
      <c r="O26" s="205"/>
      <c r="P26" s="205"/>
      <c r="Q26" s="205"/>
      <c r="R26" s="205"/>
      <c r="S26" s="205"/>
      <c r="T26" s="205"/>
      <c r="U26" s="205"/>
      <c r="V26" s="205"/>
      <c r="W26" s="205"/>
      <c r="X26" s="205"/>
      <c r="Y26" s="205"/>
      <c r="Z26" s="205"/>
      <c r="AA26" s="205"/>
      <c r="AB26" s="205"/>
      <c r="AC26" s="205"/>
      <c r="AD26" s="205"/>
      <c r="AE26" s="205"/>
      <c r="AF26" s="205"/>
    </row>
    <row r="27" spans="1:32" s="42" customFormat="1">
      <c r="E27" s="925">
        <v>80</v>
      </c>
      <c r="F27" s="926">
        <f>5634*3</f>
        <v>16902</v>
      </c>
      <c r="G27" s="926">
        <f t="shared" si="4"/>
        <v>0</v>
      </c>
      <c r="H27" s="926">
        <f t="shared" si="5"/>
        <v>16902</v>
      </c>
      <c r="I27" s="913">
        <f t="shared" si="6"/>
        <v>0</v>
      </c>
      <c r="J27" s="927">
        <f t="shared" si="7"/>
        <v>1</v>
      </c>
      <c r="K27" s="205"/>
      <c r="L27" s="205"/>
      <c r="M27" s="205"/>
      <c r="N27" s="205"/>
      <c r="O27" s="205"/>
      <c r="P27" s="205"/>
      <c r="Q27" s="205"/>
      <c r="R27" s="205"/>
      <c r="S27" s="205"/>
      <c r="T27" s="205"/>
      <c r="U27" s="205"/>
      <c r="V27" s="205"/>
      <c r="W27" s="205"/>
      <c r="X27" s="205"/>
      <c r="Y27" s="205"/>
      <c r="Z27" s="205"/>
      <c r="AA27" s="205"/>
      <c r="AB27" s="205"/>
      <c r="AC27" s="205"/>
      <c r="AD27" s="205"/>
      <c r="AE27" s="205"/>
      <c r="AF27" s="205"/>
    </row>
    <row r="28" spans="1:32" s="42" customFormat="1">
      <c r="E28" s="925">
        <v>90</v>
      </c>
      <c r="F28" s="926">
        <f>5634*3</f>
        <v>16902</v>
      </c>
      <c r="G28" s="926">
        <f t="shared" si="4"/>
        <v>0</v>
      </c>
      <c r="H28" s="926">
        <f t="shared" si="5"/>
        <v>16902</v>
      </c>
      <c r="I28" s="913">
        <f t="shared" si="6"/>
        <v>0</v>
      </c>
      <c r="J28" s="927">
        <f t="shared" si="7"/>
        <v>1</v>
      </c>
      <c r="K28" s="205"/>
      <c r="L28" s="205"/>
      <c r="M28" s="205"/>
      <c r="N28" s="205"/>
      <c r="O28" s="205"/>
      <c r="P28" s="205"/>
      <c r="Q28" s="205"/>
      <c r="R28" s="205"/>
      <c r="S28" s="205"/>
      <c r="T28" s="205"/>
      <c r="U28" s="205"/>
      <c r="V28" s="205"/>
      <c r="W28" s="205"/>
      <c r="X28" s="205"/>
      <c r="Y28" s="205"/>
      <c r="Z28" s="205"/>
      <c r="AA28" s="205"/>
      <c r="AB28" s="205"/>
      <c r="AC28" s="205"/>
      <c r="AD28" s="205"/>
      <c r="AE28" s="205"/>
      <c r="AF28" s="205"/>
    </row>
    <row r="29" spans="1:32" s="42" customFormat="1">
      <c r="E29" s="925">
        <v>100</v>
      </c>
      <c r="F29" s="926">
        <f>5634*3</f>
        <v>16902</v>
      </c>
      <c r="G29" s="926">
        <f t="shared" si="4"/>
        <v>0</v>
      </c>
      <c r="H29" s="926">
        <f t="shared" si="5"/>
        <v>16902</v>
      </c>
      <c r="I29" s="913">
        <f t="shared" si="6"/>
        <v>0</v>
      </c>
      <c r="J29" s="927">
        <f t="shared" si="7"/>
        <v>1</v>
      </c>
      <c r="K29" s="205"/>
      <c r="L29" s="205"/>
      <c r="M29" s="205"/>
      <c r="N29" s="205"/>
      <c r="O29" s="205"/>
      <c r="P29" s="205"/>
      <c r="Q29" s="205"/>
      <c r="R29" s="205"/>
      <c r="S29" s="205"/>
      <c r="T29" s="205"/>
      <c r="U29" s="205"/>
      <c r="V29" s="205"/>
      <c r="W29" s="205"/>
      <c r="X29" s="205"/>
      <c r="Y29" s="205"/>
      <c r="Z29" s="205"/>
      <c r="AA29" s="205"/>
      <c r="AB29" s="205"/>
      <c r="AC29" s="205"/>
      <c r="AD29" s="205"/>
      <c r="AE29" s="205"/>
      <c r="AF29" s="205"/>
    </row>
    <row r="30" spans="1:32" s="42" customFormat="1">
      <c r="E30" s="925">
        <v>110</v>
      </c>
      <c r="F30" s="926">
        <f>5634*3</f>
        <v>16902</v>
      </c>
      <c r="G30" s="926">
        <f t="shared" si="4"/>
        <v>0</v>
      </c>
      <c r="H30" s="926">
        <f t="shared" si="5"/>
        <v>16902</v>
      </c>
      <c r="I30" s="913">
        <f t="shared" si="6"/>
        <v>0</v>
      </c>
      <c r="J30" s="927">
        <f t="shared" si="7"/>
        <v>1</v>
      </c>
      <c r="K30" s="205"/>
      <c r="L30" s="205"/>
      <c r="M30" s="205"/>
      <c r="N30" s="205"/>
      <c r="O30" s="205"/>
      <c r="P30" s="205"/>
      <c r="Q30" s="205"/>
      <c r="R30" s="205"/>
      <c r="S30" s="205"/>
      <c r="T30" s="205"/>
      <c r="U30" s="205"/>
      <c r="V30" s="205"/>
      <c r="W30" s="205"/>
      <c r="X30" s="205"/>
      <c r="Y30" s="205"/>
      <c r="Z30" s="205"/>
      <c r="AA30" s="205"/>
      <c r="AB30" s="205"/>
      <c r="AC30" s="205"/>
      <c r="AD30" s="205"/>
      <c r="AE30" s="205"/>
      <c r="AF30" s="205"/>
    </row>
    <row r="31" spans="1:32" s="42" customFormat="1">
      <c r="E31" s="925">
        <v>120</v>
      </c>
      <c r="F31" s="926">
        <f>6379*3</f>
        <v>19137</v>
      </c>
      <c r="G31" s="926">
        <f t="shared" si="4"/>
        <v>0</v>
      </c>
      <c r="H31" s="926">
        <f t="shared" si="5"/>
        <v>19137</v>
      </c>
      <c r="I31" s="913">
        <f t="shared" si="6"/>
        <v>0</v>
      </c>
      <c r="J31" s="927">
        <f t="shared" si="7"/>
        <v>1</v>
      </c>
      <c r="K31" s="205"/>
      <c r="L31" s="205"/>
      <c r="M31" s="205"/>
      <c r="N31" s="205"/>
      <c r="O31" s="205"/>
      <c r="P31" s="205"/>
      <c r="Q31" s="205"/>
      <c r="R31" s="205"/>
      <c r="S31" s="205"/>
      <c r="T31" s="205"/>
      <c r="U31" s="205"/>
      <c r="V31" s="205"/>
      <c r="W31" s="205"/>
      <c r="X31" s="205"/>
      <c r="Y31" s="205"/>
      <c r="Z31" s="205"/>
      <c r="AA31" s="205"/>
      <c r="AB31" s="205"/>
      <c r="AC31" s="205"/>
      <c r="AD31" s="205"/>
      <c r="AE31" s="205"/>
      <c r="AF31" s="205"/>
    </row>
    <row r="32" spans="1:32" s="42" customFormat="1">
      <c r="E32" s="925">
        <v>130</v>
      </c>
      <c r="F32" s="926">
        <f>6379*3</f>
        <v>19137</v>
      </c>
      <c r="G32" s="926">
        <f t="shared" si="4"/>
        <v>0</v>
      </c>
      <c r="H32" s="926">
        <f t="shared" si="5"/>
        <v>19137</v>
      </c>
      <c r="I32" s="913">
        <f t="shared" si="6"/>
        <v>0</v>
      </c>
      <c r="J32" s="927">
        <f t="shared" si="7"/>
        <v>1</v>
      </c>
      <c r="K32" s="205"/>
      <c r="L32" s="205"/>
      <c r="M32" s="205"/>
      <c r="N32" s="205"/>
      <c r="O32" s="205"/>
      <c r="P32" s="205"/>
      <c r="Q32" s="205"/>
      <c r="R32" s="205"/>
      <c r="S32" s="205"/>
      <c r="T32" s="205"/>
      <c r="U32" s="205"/>
      <c r="V32" s="205"/>
      <c r="W32" s="205"/>
      <c r="X32" s="205"/>
      <c r="Y32" s="205"/>
      <c r="Z32" s="205"/>
      <c r="AA32" s="205"/>
      <c r="AB32" s="205"/>
      <c r="AC32" s="205"/>
      <c r="AD32" s="205"/>
      <c r="AE32" s="205"/>
      <c r="AF32" s="205"/>
    </row>
    <row r="33" spans="5:32" s="42" customFormat="1">
      <c r="E33" s="925">
        <v>140</v>
      </c>
      <c r="F33" s="926">
        <f>6379*3</f>
        <v>19137</v>
      </c>
      <c r="G33" s="926">
        <f t="shared" si="4"/>
        <v>0</v>
      </c>
      <c r="H33" s="926">
        <f t="shared" si="5"/>
        <v>19137</v>
      </c>
      <c r="I33" s="913">
        <f t="shared" si="6"/>
        <v>0</v>
      </c>
      <c r="J33" s="927">
        <f t="shared" si="7"/>
        <v>1</v>
      </c>
      <c r="K33" s="205"/>
      <c r="L33" s="205"/>
      <c r="M33" s="205"/>
      <c r="N33" s="205"/>
      <c r="O33" s="205"/>
      <c r="P33" s="205"/>
      <c r="Q33" s="205"/>
      <c r="R33" s="205"/>
      <c r="S33" s="205"/>
      <c r="T33" s="205"/>
      <c r="U33" s="205"/>
      <c r="V33" s="205"/>
      <c r="W33" s="205"/>
      <c r="X33" s="205"/>
      <c r="Y33" s="205"/>
      <c r="Z33" s="205"/>
      <c r="AA33" s="205"/>
      <c r="AB33" s="205"/>
      <c r="AC33" s="205"/>
      <c r="AD33" s="205"/>
      <c r="AE33" s="205"/>
      <c r="AF33" s="205"/>
    </row>
    <row r="34" spans="5:32" s="42" customFormat="1">
      <c r="E34" s="925">
        <v>150</v>
      </c>
      <c r="F34" s="926">
        <f>6379*3</f>
        <v>19137</v>
      </c>
      <c r="G34" s="926">
        <f t="shared" si="4"/>
        <v>0</v>
      </c>
      <c r="H34" s="926">
        <f t="shared" si="5"/>
        <v>19137</v>
      </c>
      <c r="I34" s="913">
        <f t="shared" si="6"/>
        <v>0</v>
      </c>
      <c r="J34" s="927">
        <f t="shared" si="7"/>
        <v>1</v>
      </c>
      <c r="K34" s="205"/>
      <c r="L34" s="205"/>
      <c r="M34" s="205"/>
      <c r="N34" s="205"/>
      <c r="O34" s="205"/>
      <c r="P34" s="205"/>
      <c r="Q34" s="205"/>
      <c r="R34" s="205"/>
      <c r="S34" s="205"/>
      <c r="T34" s="205"/>
      <c r="U34" s="205"/>
      <c r="V34" s="205"/>
      <c r="W34" s="205"/>
      <c r="X34" s="205"/>
      <c r="Y34" s="205"/>
      <c r="Z34" s="205"/>
      <c r="AA34" s="205"/>
      <c r="AB34" s="205"/>
      <c r="AC34" s="205"/>
      <c r="AD34" s="205"/>
      <c r="AE34" s="205"/>
      <c r="AF34" s="205"/>
    </row>
    <row r="35" spans="5:32">
      <c r="E35" s="925">
        <v>160</v>
      </c>
      <c r="F35" s="926">
        <f>7118*3</f>
        <v>21354</v>
      </c>
      <c r="G35" s="926">
        <f t="shared" si="4"/>
        <v>0</v>
      </c>
      <c r="H35" s="926">
        <f t="shared" si="5"/>
        <v>21354</v>
      </c>
      <c r="I35" s="913">
        <f t="shared" si="6"/>
        <v>0</v>
      </c>
      <c r="J35" s="927">
        <f t="shared" si="7"/>
        <v>1</v>
      </c>
    </row>
    <row r="36" spans="5:32">
      <c r="E36" s="925">
        <v>170</v>
      </c>
      <c r="F36" s="926">
        <f t="shared" ref="F36:F42" si="8">7118*3</f>
        <v>21354</v>
      </c>
      <c r="G36" s="926">
        <f t="shared" si="4"/>
        <v>0</v>
      </c>
      <c r="H36" s="926">
        <f t="shared" si="5"/>
        <v>21354</v>
      </c>
      <c r="I36" s="913">
        <f t="shared" si="6"/>
        <v>0</v>
      </c>
      <c r="J36" s="927">
        <f t="shared" si="7"/>
        <v>1</v>
      </c>
    </row>
    <row r="37" spans="5:32">
      <c r="E37" s="925">
        <v>180</v>
      </c>
      <c r="F37" s="926">
        <f t="shared" si="8"/>
        <v>21354</v>
      </c>
      <c r="G37" s="926">
        <f t="shared" si="4"/>
        <v>0</v>
      </c>
      <c r="H37" s="926">
        <f t="shared" si="5"/>
        <v>21354</v>
      </c>
      <c r="I37" s="913">
        <f t="shared" si="6"/>
        <v>0</v>
      </c>
      <c r="J37" s="927">
        <f t="shared" si="7"/>
        <v>1</v>
      </c>
    </row>
    <row r="38" spans="5:32">
      <c r="E38" s="925">
        <v>190</v>
      </c>
      <c r="F38" s="926">
        <f t="shared" si="8"/>
        <v>21354</v>
      </c>
      <c r="G38" s="926">
        <f t="shared" si="4"/>
        <v>0</v>
      </c>
      <c r="H38" s="926">
        <f t="shared" si="5"/>
        <v>21354</v>
      </c>
      <c r="I38" s="913">
        <f t="shared" si="6"/>
        <v>0</v>
      </c>
      <c r="J38" s="927">
        <f t="shared" si="7"/>
        <v>1</v>
      </c>
    </row>
    <row r="39" spans="5:32">
      <c r="E39" s="925">
        <v>200</v>
      </c>
      <c r="F39" s="926">
        <f t="shared" si="8"/>
        <v>21354</v>
      </c>
      <c r="G39" s="926">
        <f t="shared" si="4"/>
        <v>0</v>
      </c>
      <c r="H39" s="926">
        <f t="shared" si="5"/>
        <v>21354</v>
      </c>
      <c r="I39" s="913">
        <f t="shared" si="6"/>
        <v>0</v>
      </c>
      <c r="J39" s="927">
        <f t="shared" si="7"/>
        <v>1</v>
      </c>
    </row>
    <row r="40" spans="5:32">
      <c r="E40" s="925">
        <v>210</v>
      </c>
      <c r="F40" s="926">
        <f t="shared" si="8"/>
        <v>21354</v>
      </c>
      <c r="G40" s="926">
        <f t="shared" si="4"/>
        <v>0</v>
      </c>
      <c r="H40" s="926">
        <f t="shared" si="5"/>
        <v>21354</v>
      </c>
      <c r="I40" s="913">
        <f t="shared" si="6"/>
        <v>0</v>
      </c>
      <c r="J40" s="927">
        <f t="shared" si="7"/>
        <v>1</v>
      </c>
    </row>
    <row r="41" spans="5:32">
      <c r="E41" s="925">
        <v>220</v>
      </c>
      <c r="F41" s="926">
        <f t="shared" si="8"/>
        <v>21354</v>
      </c>
      <c r="G41" s="926">
        <f t="shared" si="4"/>
        <v>0</v>
      </c>
      <c r="H41" s="926">
        <f t="shared" si="5"/>
        <v>21354</v>
      </c>
      <c r="I41" s="913">
        <f t="shared" si="6"/>
        <v>0</v>
      </c>
      <c r="J41" s="927">
        <f t="shared" si="7"/>
        <v>1</v>
      </c>
    </row>
    <row r="42" spans="5:32">
      <c r="E42" s="925">
        <v>230</v>
      </c>
      <c r="F42" s="926">
        <f t="shared" si="8"/>
        <v>21354</v>
      </c>
      <c r="G42" s="926">
        <f t="shared" si="4"/>
        <v>0</v>
      </c>
      <c r="H42" s="926">
        <f t="shared" si="5"/>
        <v>21354</v>
      </c>
      <c r="I42" s="913">
        <f t="shared" si="6"/>
        <v>0</v>
      </c>
      <c r="J42" s="927">
        <f t="shared" si="7"/>
        <v>1</v>
      </c>
    </row>
    <row r="43" spans="5:32">
      <c r="E43" s="925">
        <v>240</v>
      </c>
      <c r="F43" s="926">
        <f>9120*3</f>
        <v>27360</v>
      </c>
      <c r="G43" s="926">
        <f t="shared" si="4"/>
        <v>0</v>
      </c>
      <c r="H43" s="926">
        <f t="shared" si="5"/>
        <v>27360</v>
      </c>
      <c r="I43" s="913">
        <f t="shared" si="6"/>
        <v>0</v>
      </c>
      <c r="J43" s="927">
        <f t="shared" si="7"/>
        <v>1</v>
      </c>
    </row>
    <row r="44" spans="5:32">
      <c r="E44" s="928">
        <v>250</v>
      </c>
      <c r="F44" s="929">
        <f>9120*3</f>
        <v>27360</v>
      </c>
      <c r="G44" s="929">
        <f t="shared" si="4"/>
        <v>0</v>
      </c>
      <c r="H44" s="929">
        <f t="shared" si="5"/>
        <v>27360</v>
      </c>
      <c r="I44" s="930">
        <f t="shared" si="6"/>
        <v>0</v>
      </c>
      <c r="J44" s="931">
        <f t="shared" si="7"/>
        <v>1</v>
      </c>
    </row>
  </sheetData>
  <pageMargins left="0.25" right="0.25" top="0.25" bottom="0.5" header="0" footer="0"/>
  <pageSetup scale="56" orientation="landscape" r:id="rId1"/>
  <headerFooter alignWithMargins="0">
    <oddFooter>&amp;L&amp;D   &amp;T&amp;R&amp;F
&amp;A &amp;P</oddFooter>
  </headerFooter>
  <colBreaks count="1" manualBreakCount="1">
    <brk id="15" max="1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42"/>
  <sheetViews>
    <sheetView workbookViewId="0">
      <selection activeCell="C10" sqref="C10"/>
    </sheetView>
  </sheetViews>
  <sheetFormatPr defaultRowHeight="12.75"/>
  <cols>
    <col min="1" max="1" width="17.28515625" customWidth="1"/>
  </cols>
  <sheetData>
    <row r="1" spans="1:3">
      <c r="A1" s="974" t="str">
        <f>'PPA Assumptions &amp;Summary'!A1</f>
        <v>GLEASON, TN</v>
      </c>
    </row>
    <row r="2" spans="1:3">
      <c r="A2" s="975" t="s">
        <v>562</v>
      </c>
    </row>
    <row r="5" spans="1:3">
      <c r="A5" s="976" t="s">
        <v>563</v>
      </c>
    </row>
    <row r="7" spans="1:3">
      <c r="A7" t="s">
        <v>564</v>
      </c>
      <c r="C7">
        <f>NetMW</f>
        <v>510</v>
      </c>
    </row>
    <row r="8" spans="1:3">
      <c r="A8" t="s">
        <v>565</v>
      </c>
      <c r="C8" s="977">
        <f>HeatRate</f>
        <v>10904</v>
      </c>
    </row>
    <row r="9" spans="1:3">
      <c r="A9" t="s">
        <v>566</v>
      </c>
      <c r="C9">
        <f>'Project Assumptions'!H8+'Project Assumptions'!I8</f>
        <v>3</v>
      </c>
    </row>
    <row r="10" spans="1:3">
      <c r="A10" t="s">
        <v>567</v>
      </c>
      <c r="C10">
        <f>AnnualHours</f>
        <v>1200</v>
      </c>
    </row>
    <row r="11" spans="1:3">
      <c r="A11" t="s">
        <v>582</v>
      </c>
      <c r="C11">
        <f>'Project Assumptions'!N59</f>
        <v>0</v>
      </c>
    </row>
    <row r="13" spans="1:3">
      <c r="A13" s="976" t="s">
        <v>568</v>
      </c>
    </row>
    <row r="14" spans="1:3">
      <c r="C14" s="978">
        <v>1999</v>
      </c>
    </row>
    <row r="15" spans="1:3">
      <c r="A15" t="s">
        <v>569</v>
      </c>
      <c r="C15" s="977">
        <f>Labor+Fixed</f>
        <v>997</v>
      </c>
    </row>
    <row r="16" spans="1:3">
      <c r="A16" t="s">
        <v>570</v>
      </c>
      <c r="C16" s="977">
        <f>'Project Assumptions'!L11</f>
        <v>744.673</v>
      </c>
    </row>
    <row r="17" spans="1:25">
      <c r="A17" t="s">
        <v>571</v>
      </c>
      <c r="C17" s="977">
        <f>'Project Assumptions'!O16</f>
        <v>0</v>
      </c>
    </row>
    <row r="18" spans="1:25">
      <c r="A18" t="s">
        <v>572</v>
      </c>
      <c r="C18" s="977">
        <f>'Project Assumptions'!O15</f>
        <v>2296.44</v>
      </c>
    </row>
    <row r="19" spans="1:25">
      <c r="A19" t="s">
        <v>573</v>
      </c>
      <c r="C19" s="977">
        <f>'Project Assumptions'!N32</f>
        <v>267</v>
      </c>
    </row>
    <row r="20" spans="1:25">
      <c r="A20" t="s">
        <v>574</v>
      </c>
      <c r="C20" s="977">
        <f>'Project Assumptions'!N34+'Project Assumptions'!N35+'Project Assumptions'!N36+'Project Assumptions'!N37</f>
        <v>325</v>
      </c>
    </row>
    <row r="21" spans="1:25">
      <c r="A21" t="s">
        <v>586</v>
      </c>
      <c r="C21" s="977">
        <f>'Project Assumptions'!N33</f>
        <v>70</v>
      </c>
    </row>
    <row r="22" spans="1:25">
      <c r="A22" t="s">
        <v>575</v>
      </c>
      <c r="C22" s="977">
        <v>0</v>
      </c>
      <c r="D22" s="977">
        <f>'Book Income Statement'!D53+'Book Income Statement'!D58</f>
        <v>245.60635648000002</v>
      </c>
      <c r="E22" s="977">
        <f>'Book Income Statement'!E53+'Book Income Statement'!E58</f>
        <v>245.60635648000002</v>
      </c>
      <c r="F22" s="977">
        <f>'Book Income Statement'!F53+'Book Income Statement'!F58</f>
        <v>245.60635648000002</v>
      </c>
      <c r="G22" s="977">
        <f>'Book Income Statement'!G53+'Book Income Statement'!G58</f>
        <v>245.60635648000002</v>
      </c>
      <c r="H22" s="977">
        <f>'Book Income Statement'!H53+'Book Income Statement'!H58</f>
        <v>245.60635648000002</v>
      </c>
      <c r="I22" s="977">
        <f>'Book Income Statement'!I53+'Book Income Statement'!I58</f>
        <v>245.60635648000002</v>
      </c>
      <c r="J22" s="977">
        <f>'Book Income Statement'!J53+'Book Income Statement'!J58</f>
        <v>245.60635648000002</v>
      </c>
      <c r="K22" s="977">
        <f>'Book Income Statement'!K53+'Book Income Statement'!K58</f>
        <v>245.60635648000002</v>
      </c>
      <c r="L22" s="977">
        <f>'Book Income Statement'!L53+'Book Income Statement'!L58</f>
        <v>245.60635648000002</v>
      </c>
      <c r="M22" s="977">
        <f>'Book Income Statement'!M53+'Book Income Statement'!M58</f>
        <v>245.60635648000002</v>
      </c>
      <c r="N22" s="977">
        <f>'Book Income Statement'!N53+'Book Income Statement'!N58</f>
        <v>245.60635648000002</v>
      </c>
      <c r="O22" s="977">
        <f>'Book Income Statement'!O53+'Book Income Statement'!O58</f>
        <v>245.60635648000002</v>
      </c>
      <c r="P22" s="977">
        <f>'Book Income Statement'!P53+'Book Income Statement'!P58</f>
        <v>245.60635648000002</v>
      </c>
      <c r="Q22" s="977">
        <f>'Book Income Statement'!Q53+'Book Income Statement'!Q58</f>
        <v>245.60635648000002</v>
      </c>
      <c r="R22" s="977">
        <f>'Book Income Statement'!R53+'Book Income Statement'!R58</f>
        <v>245.60635648000002</v>
      </c>
      <c r="S22" s="977">
        <f>'Book Income Statement'!S53+'Book Income Statement'!S58</f>
        <v>245.60635648000002</v>
      </c>
      <c r="T22" s="977">
        <f>'Book Income Statement'!T53+'Book Income Statement'!T58</f>
        <v>245.60635648000002</v>
      </c>
      <c r="U22" s="977">
        <f>'Book Income Statement'!U53+'Book Income Statement'!U58</f>
        <v>245.60635648000002</v>
      </c>
      <c r="V22" s="977">
        <f>'Book Income Statement'!V53+'Book Income Statement'!V58</f>
        <v>245.60635648000002</v>
      </c>
      <c r="W22" s="977">
        <f>'Book Income Statement'!W53+'Book Income Statement'!W58</f>
        <v>245.60635648000002</v>
      </c>
      <c r="X22" s="977"/>
      <c r="Y22" s="977"/>
    </row>
    <row r="23" spans="1:25">
      <c r="A23" t="s">
        <v>446</v>
      </c>
      <c r="C23" s="977"/>
    </row>
    <row r="24" spans="1:25">
      <c r="A24" t="s">
        <v>576</v>
      </c>
      <c r="C24" s="977">
        <f>'Project Assumptions'!N22</f>
        <v>176.47058823529412</v>
      </c>
    </row>
    <row r="25" spans="1:25">
      <c r="A25" t="s">
        <v>577</v>
      </c>
      <c r="C25" s="977">
        <f>'Project Assumptions'!N24</f>
        <v>250</v>
      </c>
    </row>
    <row r="27" spans="1:25">
      <c r="A27" s="975" t="s">
        <v>578</v>
      </c>
    </row>
    <row r="29" spans="1:25">
      <c r="A29" t="s">
        <v>556</v>
      </c>
      <c r="C29" s="979">
        <f>VEP</f>
        <v>1.2167859477124183</v>
      </c>
    </row>
    <row r="30" spans="1:25">
      <c r="A30" t="s">
        <v>579</v>
      </c>
      <c r="C30" s="977">
        <f>'Project Assumptions'!F22</f>
        <v>6379</v>
      </c>
    </row>
    <row r="34" spans="1:25">
      <c r="A34" s="1043" t="s">
        <v>628</v>
      </c>
      <c r="B34" s="1044"/>
      <c r="C34" s="1044"/>
      <c r="D34" s="1044"/>
      <c r="E34" s="1044"/>
      <c r="F34" s="1044"/>
      <c r="G34" s="1044"/>
      <c r="H34" s="1044"/>
      <c r="I34" s="1044"/>
      <c r="J34" s="1044"/>
      <c r="K34" s="1044"/>
      <c r="L34" s="1044"/>
      <c r="M34" s="1044"/>
      <c r="N34" s="1044"/>
      <c r="O34" s="1044"/>
      <c r="P34" s="1044"/>
      <c r="Q34" s="1044"/>
      <c r="R34" s="1044"/>
      <c r="S34" s="1044"/>
      <c r="T34" s="1044"/>
      <c r="U34" s="1044"/>
      <c r="V34" s="1044"/>
      <c r="W34" s="1044"/>
      <c r="X34" s="1044"/>
      <c r="Y34" s="1045"/>
    </row>
    <row r="35" spans="1:25">
      <c r="A35" s="925"/>
      <c r="B35" s="919"/>
      <c r="C35" s="1046">
        <v>2000</v>
      </c>
      <c r="D35" s="1046">
        <f>C35+1</f>
        <v>2001</v>
      </c>
      <c r="E35" s="1046">
        <f t="shared" ref="E35:Y35" si="0">D35+1</f>
        <v>2002</v>
      </c>
      <c r="F35" s="1046">
        <f t="shared" si="0"/>
        <v>2003</v>
      </c>
      <c r="G35" s="1046">
        <f t="shared" si="0"/>
        <v>2004</v>
      </c>
      <c r="H35" s="1046">
        <f t="shared" si="0"/>
        <v>2005</v>
      </c>
      <c r="I35" s="1046">
        <f t="shared" si="0"/>
        <v>2006</v>
      </c>
      <c r="J35" s="1046">
        <f t="shared" si="0"/>
        <v>2007</v>
      </c>
      <c r="K35" s="1046">
        <f t="shared" si="0"/>
        <v>2008</v>
      </c>
      <c r="L35" s="1046">
        <f t="shared" si="0"/>
        <v>2009</v>
      </c>
      <c r="M35" s="1046">
        <f t="shared" si="0"/>
        <v>2010</v>
      </c>
      <c r="N35" s="1046">
        <f t="shared" si="0"/>
        <v>2011</v>
      </c>
      <c r="O35" s="1046">
        <f t="shared" si="0"/>
        <v>2012</v>
      </c>
      <c r="P35" s="1046">
        <f t="shared" si="0"/>
        <v>2013</v>
      </c>
      <c r="Q35" s="1046">
        <f t="shared" si="0"/>
        <v>2014</v>
      </c>
      <c r="R35" s="1046">
        <f t="shared" si="0"/>
        <v>2015</v>
      </c>
      <c r="S35" s="1046">
        <f t="shared" si="0"/>
        <v>2016</v>
      </c>
      <c r="T35" s="1046">
        <f t="shared" si="0"/>
        <v>2017</v>
      </c>
      <c r="U35" s="1046">
        <f t="shared" si="0"/>
        <v>2018</v>
      </c>
      <c r="V35" s="1046">
        <f t="shared" si="0"/>
        <v>2019</v>
      </c>
      <c r="W35" s="1046">
        <f t="shared" si="0"/>
        <v>2020</v>
      </c>
      <c r="X35" s="1046">
        <f t="shared" si="0"/>
        <v>2021</v>
      </c>
      <c r="Y35" s="1047">
        <f t="shared" si="0"/>
        <v>2022</v>
      </c>
    </row>
    <row r="36" spans="1:25">
      <c r="A36" s="925" t="s">
        <v>629</v>
      </c>
      <c r="B36" s="919"/>
      <c r="C36" s="926">
        <f>[4]Calvert!F39</f>
        <v>12824.693287669219</v>
      </c>
      <c r="D36" s="926">
        <f>[4]Calvert!G39</f>
        <v>22142.530811875698</v>
      </c>
      <c r="E36" s="926">
        <f>[4]Calvert!H39</f>
        <v>22075.326861058784</v>
      </c>
      <c r="F36" s="926">
        <f>[4]Calvert!I39</f>
        <v>27069.357246327123</v>
      </c>
      <c r="G36" s="926">
        <f>[4]Calvert!J39</f>
        <v>31005.401945109301</v>
      </c>
      <c r="H36" s="926">
        <f>[4]Calvert!K39</f>
        <v>31306.83706655947</v>
      </c>
      <c r="I36" s="926">
        <f>[4]Calvert!L39</f>
        <v>31598.109713521149</v>
      </c>
      <c r="J36" s="926">
        <f>[4]Calvert!M39</f>
        <v>32557.510339090553</v>
      </c>
      <c r="K36" s="926">
        <f>[4]Calvert!N39</f>
        <v>32846.146345456938</v>
      </c>
      <c r="L36" s="926">
        <f>[4]Calvert!O39</f>
        <v>33842.988069984414</v>
      </c>
      <c r="M36" s="926">
        <f>[4]Calvert!P39</f>
        <v>34143.335140739393</v>
      </c>
      <c r="N36" s="926">
        <f>[4]Calvert!Q39</f>
        <v>35185.206408847967</v>
      </c>
      <c r="O36" s="926">
        <f>[4]Calvert!R39</f>
        <v>35470.638584691711</v>
      </c>
      <c r="P36" s="926">
        <f>[4]Calvert!S39</f>
        <v>35740.810976229332</v>
      </c>
      <c r="Q36" s="926">
        <f>[4]Calvert!T39</f>
        <v>35990.651514180172</v>
      </c>
      <c r="R36" s="926">
        <f>[4]Calvert!U39</f>
        <v>36223.242836942081</v>
      </c>
      <c r="S36" s="926">
        <f>[4]Calvert!V39</f>
        <v>36441.077643569399</v>
      </c>
      <c r="T36" s="926">
        <f>[4]Calvert!W39</f>
        <v>36654.042164707986</v>
      </c>
      <c r="U36" s="926">
        <f>[4]Calvert!X39</f>
        <v>36828.657333165196</v>
      </c>
      <c r="V36" s="926">
        <f>[4]Calvert!Y39</f>
        <v>36989.821366450393</v>
      </c>
      <c r="W36" s="926">
        <f>[4]Calvert!Z39</f>
        <v>37065.869526902105</v>
      </c>
      <c r="X36" s="926">
        <f>[4]Calvert!AA39</f>
        <v>0</v>
      </c>
      <c r="Y36" s="918"/>
    </row>
    <row r="37" spans="1:25">
      <c r="A37" s="925" t="s">
        <v>633</v>
      </c>
      <c r="B37" s="919"/>
      <c r="C37" s="1048">
        <f>'Book Income Statement'!D63</f>
        <v>12751.331731755294</v>
      </c>
      <c r="D37" s="1048">
        <f>'Book Income Statement'!E63</f>
        <v>22021.917896461182</v>
      </c>
      <c r="E37" s="1048">
        <f>'Book Income Statement'!F63</f>
        <v>21955.543624049413</v>
      </c>
      <c r="F37" s="1048">
        <f>'Book Income Statement'!G63</f>
        <v>26861.090356092493</v>
      </c>
      <c r="G37" s="1048">
        <f>'Book Income Statement'!H63</f>
        <v>30724.830336386123</v>
      </c>
      <c r="H37" s="1048">
        <f>'Book Income Statement'!I63</f>
        <v>31021.284967944579</v>
      </c>
      <c r="I37" s="1048">
        <f>'Book Income Statement'!J63</f>
        <v>31307.66481560337</v>
      </c>
      <c r="J37" s="1048">
        <f>'Book Income Statement'!K63</f>
        <v>32253.885243085868</v>
      </c>
      <c r="K37" s="1048">
        <f>'Book Income Statement'!L63</f>
        <v>32537.582023669314</v>
      </c>
      <c r="L37" s="1048">
        <f>'Book Income Statement'!M63</f>
        <v>33520.699967393783</v>
      </c>
      <c r="M37" s="1048">
        <f>'Book Income Statement'!N63</f>
        <v>33800.324754889298</v>
      </c>
      <c r="N37" s="1048">
        <f>'Book Income Statement'!O63</f>
        <v>34821.32498055038</v>
      </c>
      <c r="O37" s="1048">
        <f>'Book Income Statement'!P63</f>
        <v>35095.329628743071</v>
      </c>
      <c r="P37" s="1048">
        <f>'Book Income Statement'!Q63</f>
        <v>35354.225648854379</v>
      </c>
      <c r="Q37" s="1048">
        <f>'Book Income Statement'!R63</f>
        <v>35596.859919016068</v>
      </c>
      <c r="R37" s="1048">
        <f>'Book Income Statement'!S63</f>
        <v>35822.023727813066</v>
      </c>
      <c r="S37" s="1048">
        <f>'Book Income Statement'!T63</f>
        <v>36028.450476720333</v>
      </c>
      <c r="T37" s="1048">
        <f>'Book Income Statement'!U63</f>
        <v>36214.813294716572</v>
      </c>
      <c r="U37" s="1048">
        <f>'Book Income Statement'!V63</f>
        <v>36379.722561873103</v>
      </c>
      <c r="V37" s="1048">
        <f>'Book Income Statement'!W63</f>
        <v>36521.72333860334</v>
      </c>
      <c r="W37" s="1048">
        <f>'Book Income Statement'!X63</f>
        <v>13385.784883973189</v>
      </c>
      <c r="X37" s="1048">
        <f>'Book Income Statement'!Y63</f>
        <v>0</v>
      </c>
      <c r="Y37" s="918"/>
    </row>
    <row r="38" spans="1:25">
      <c r="A38" s="925"/>
      <c r="B38" s="919"/>
      <c r="C38" s="926">
        <f>C36-C37</f>
        <v>73.361555913925258</v>
      </c>
      <c r="D38" s="926">
        <f t="shared" ref="D38:Y38" si="1">D36-D37</f>
        <v>120.61291541451646</v>
      </c>
      <c r="E38" s="926">
        <f t="shared" si="1"/>
        <v>119.78323700937108</v>
      </c>
      <c r="F38" s="926">
        <f t="shared" si="1"/>
        <v>208.26689023463041</v>
      </c>
      <c r="G38" s="926">
        <f t="shared" si="1"/>
        <v>280.57160872317763</v>
      </c>
      <c r="H38" s="926">
        <f t="shared" si="1"/>
        <v>285.55209861489129</v>
      </c>
      <c r="I38" s="926">
        <f t="shared" si="1"/>
        <v>290.4448979177796</v>
      </c>
      <c r="J38" s="926">
        <f t="shared" si="1"/>
        <v>303.62509600468547</v>
      </c>
      <c r="K38" s="926">
        <f t="shared" si="1"/>
        <v>308.56432178762407</v>
      </c>
      <c r="L38" s="926">
        <f t="shared" si="1"/>
        <v>322.28810259063175</v>
      </c>
      <c r="M38" s="926">
        <f t="shared" si="1"/>
        <v>343.01038585009519</v>
      </c>
      <c r="N38" s="926">
        <f t="shared" si="1"/>
        <v>363.88142829758726</v>
      </c>
      <c r="O38" s="926">
        <f t="shared" si="1"/>
        <v>375.30895594863978</v>
      </c>
      <c r="P38" s="926">
        <f t="shared" si="1"/>
        <v>386.58532737495261</v>
      </c>
      <c r="Q38" s="926">
        <f t="shared" si="1"/>
        <v>393.79159516410436</v>
      </c>
      <c r="R38" s="926">
        <f t="shared" si="1"/>
        <v>401.21910912901512</v>
      </c>
      <c r="S38" s="926">
        <f t="shared" si="1"/>
        <v>412.62716684906627</v>
      </c>
      <c r="T38" s="926">
        <f t="shared" si="1"/>
        <v>439.22886999141338</v>
      </c>
      <c r="U38" s="926">
        <f t="shared" si="1"/>
        <v>448.9347712920935</v>
      </c>
      <c r="V38" s="926">
        <f t="shared" si="1"/>
        <v>468.09802784705244</v>
      </c>
      <c r="W38" s="926">
        <f t="shared" si="1"/>
        <v>23680.084642928916</v>
      </c>
      <c r="X38" s="926">
        <f t="shared" si="1"/>
        <v>0</v>
      </c>
      <c r="Y38" s="1049">
        <f t="shared" si="1"/>
        <v>0</v>
      </c>
    </row>
    <row r="39" spans="1:25">
      <c r="A39" s="925"/>
      <c r="B39" s="919"/>
      <c r="C39" s="919"/>
      <c r="D39" s="919"/>
      <c r="E39" s="919"/>
      <c r="F39" s="919"/>
      <c r="G39" s="919"/>
      <c r="H39" s="919"/>
      <c r="I39" s="919"/>
      <c r="J39" s="919"/>
      <c r="K39" s="919"/>
      <c r="L39" s="919"/>
      <c r="M39" s="919"/>
      <c r="N39" s="919"/>
      <c r="O39" s="919"/>
      <c r="P39" s="919"/>
      <c r="Q39" s="919"/>
      <c r="R39" s="919"/>
      <c r="S39" s="919"/>
      <c r="T39" s="919"/>
      <c r="U39" s="919"/>
      <c r="V39" s="919"/>
      <c r="W39" s="919"/>
      <c r="X39" s="919"/>
      <c r="Y39" s="918"/>
    </row>
    <row r="40" spans="1:25">
      <c r="A40" s="925" t="s">
        <v>630</v>
      </c>
      <c r="B40" s="919"/>
      <c r="C40" s="926">
        <f>[4]Calvert!F32</f>
        <v>94.897140327424509</v>
      </c>
      <c r="D40" s="926">
        <f>[4]Calvert!G32</f>
        <v>162.68081198987059</v>
      </c>
      <c r="E40" s="926">
        <f>[4]Calvert!H32</f>
        <v>162.68081198987059</v>
      </c>
      <c r="F40" s="926">
        <f>[4]Calvert!I32</f>
        <v>162.68081198987059</v>
      </c>
      <c r="G40" s="926">
        <f>[4]Calvert!J32</f>
        <v>154.10923546130201</v>
      </c>
      <c r="H40" s="926">
        <f>[4]Calvert!K32</f>
        <v>154.10923546130201</v>
      </c>
      <c r="I40" s="926">
        <f>[4]Calvert!L32</f>
        <v>154.10923546130201</v>
      </c>
      <c r="J40" s="926">
        <f>[4]Calvert!M32</f>
        <v>154.10923546130201</v>
      </c>
      <c r="K40" s="926">
        <f>[4]Calvert!N32</f>
        <v>154.10923546130201</v>
      </c>
      <c r="L40" s="926">
        <f>[4]Calvert!O32</f>
        <v>154.10923546130201</v>
      </c>
      <c r="M40" s="926">
        <f>[4]Calvert!P32</f>
        <v>138.55454636091247</v>
      </c>
      <c r="N40" s="926">
        <f>[4]Calvert!Q32</f>
        <v>132.04950596184318</v>
      </c>
      <c r="O40" s="926">
        <f>[4]Calvert!R32</f>
        <v>125.69432794771673</v>
      </c>
      <c r="P40" s="926">
        <f>[4]Calvert!S32</f>
        <v>119.34836862794066</v>
      </c>
      <c r="Q40" s="926">
        <f>[4]Calvert!T32</f>
        <v>116.86935092169313</v>
      </c>
      <c r="R40" s="926">
        <f>[4]Calvert!U32</f>
        <v>114.00541773564787</v>
      </c>
      <c r="S40" s="926">
        <f>[4]Calvert!V32</f>
        <v>107.0295240719369</v>
      </c>
      <c r="T40" s="926">
        <f>[4]Calvert!W32</f>
        <v>84.852143368280565</v>
      </c>
      <c r="U40" s="926">
        <f>[4]Calvert!X32</f>
        <v>79.150969632330188</v>
      </c>
      <c r="V40" s="926">
        <f>[4]Calvert!Y32</f>
        <v>63.881846787253153</v>
      </c>
      <c r="W40" s="926">
        <f>[4]Calvert!Z32</f>
        <v>63.881846787253153</v>
      </c>
      <c r="X40" s="926">
        <f>[4]Calvert!AA32</f>
        <v>0</v>
      </c>
      <c r="Y40" s="926">
        <f>[4]Calvert!AB32</f>
        <v>0</v>
      </c>
    </row>
    <row r="41" spans="1:25">
      <c r="A41" s="925" t="s">
        <v>631</v>
      </c>
      <c r="B41" s="919"/>
      <c r="C41" s="1048">
        <f>-[4]Calvert!F19</f>
        <v>-158.32954676134838</v>
      </c>
      <c r="D41" s="1048">
        <f>-[4]Calvert!G19</f>
        <v>-273.36457792439131</v>
      </c>
      <c r="E41" s="1048">
        <f>-[4]Calvert!H19</f>
        <v>-272.53489951924428</v>
      </c>
      <c r="F41" s="1048">
        <f>-[4]Calvert!I19</f>
        <v>-334.1895956336682</v>
      </c>
      <c r="G41" s="1048">
        <f>-[4]Calvert!J19</f>
        <v>-382.78274006307782</v>
      </c>
      <c r="H41" s="1048">
        <f>-[4]Calvert!K19</f>
        <v>-386.50416131554903</v>
      </c>
      <c r="I41" s="1048">
        <f>-[4]Calvert!L19</f>
        <v>-390.10011992001427</v>
      </c>
      <c r="J41" s="1048">
        <f>-[4]Calvert!M19</f>
        <v>-401.94457208753772</v>
      </c>
      <c r="K41" s="1048">
        <f>-[4]Calvert!N19</f>
        <v>-405.50797957354246</v>
      </c>
      <c r="L41" s="1048">
        <f>-[4]Calvert!O19</f>
        <v>-417.81466753067184</v>
      </c>
      <c r="M41" s="1048">
        <f>-[4]Calvert!P19</f>
        <v>-421.52265605851102</v>
      </c>
      <c r="N41" s="1048">
        <f>-[4]Calvert!Q19</f>
        <v>-434.38526430676507</v>
      </c>
      <c r="O41" s="1048">
        <f>-[4]Calvert!R19</f>
        <v>-437.90911832952736</v>
      </c>
      <c r="P41" s="1048">
        <f>-[4]Calvert!S19</f>
        <v>-441.24457995344858</v>
      </c>
      <c r="Q41" s="1048">
        <f>-[4]Calvert!T19</f>
        <v>-444.32903103926139</v>
      </c>
      <c r="R41" s="1048">
        <f>-[4]Calvert!U19</f>
        <v>-447.20052885113677</v>
      </c>
      <c r="S41" s="1048">
        <f>-[4]Calvert!V19</f>
        <v>-449.88984745147411</v>
      </c>
      <c r="T41" s="1048">
        <f>-[4]Calvert!W19</f>
        <v>-452.51903907046903</v>
      </c>
      <c r="U41" s="1048">
        <f>-[4]Calvert!X19</f>
        <v>-454.67478189092839</v>
      </c>
      <c r="V41" s="1048">
        <f>-[4]Calvert!Y19</f>
        <v>-456.66446131420236</v>
      </c>
      <c r="W41" s="1048">
        <f>-[4]Calvert!Z19</f>
        <v>-457.60332749261863</v>
      </c>
      <c r="X41" s="1048">
        <f>-[4]Calvert!AA19</f>
        <v>0</v>
      </c>
      <c r="Y41" s="1048">
        <f>-[4]Calvert!AB19</f>
        <v>0</v>
      </c>
    </row>
    <row r="42" spans="1:25">
      <c r="A42" s="920" t="s">
        <v>632</v>
      </c>
      <c r="B42" s="1050"/>
      <c r="C42" s="1051">
        <f>C38+C40+C41</f>
        <v>9.9291494800013709</v>
      </c>
      <c r="D42" s="1051">
        <f t="shared" ref="D42:Y42" si="2">D38+D40+D41</f>
        <v>9.929149479995715</v>
      </c>
      <c r="E42" s="1051">
        <f t="shared" si="2"/>
        <v>9.9291494799973634</v>
      </c>
      <c r="F42" s="1051">
        <f t="shared" si="2"/>
        <v>36.758106590832767</v>
      </c>
      <c r="G42" s="1051">
        <f t="shared" si="2"/>
        <v>51.898104121401786</v>
      </c>
      <c r="H42" s="1051">
        <f t="shared" si="2"/>
        <v>53.157172760644244</v>
      </c>
      <c r="I42" s="1051">
        <f t="shared" si="2"/>
        <v>54.454013459067312</v>
      </c>
      <c r="J42" s="1051">
        <f t="shared" si="2"/>
        <v>55.78975937844973</v>
      </c>
      <c r="K42" s="1051">
        <f t="shared" si="2"/>
        <v>57.165577675383588</v>
      </c>
      <c r="L42" s="1051">
        <f t="shared" si="2"/>
        <v>58.582670521261889</v>
      </c>
      <c r="M42" s="1051">
        <f t="shared" si="2"/>
        <v>60.04227615249664</v>
      </c>
      <c r="N42" s="1051">
        <f t="shared" si="2"/>
        <v>61.545669952665378</v>
      </c>
      <c r="O42" s="1051">
        <f t="shared" si="2"/>
        <v>63.094165566829133</v>
      </c>
      <c r="P42" s="1051">
        <f t="shared" si="2"/>
        <v>64.689116049444692</v>
      </c>
      <c r="Q42" s="1051">
        <f t="shared" si="2"/>
        <v>66.331915046536096</v>
      </c>
      <c r="R42" s="1051">
        <f t="shared" si="2"/>
        <v>68.023998013526182</v>
      </c>
      <c r="S42" s="1051">
        <f t="shared" si="2"/>
        <v>69.766843469529022</v>
      </c>
      <c r="T42" s="1051">
        <f t="shared" si="2"/>
        <v>71.561974289224963</v>
      </c>
      <c r="U42" s="1051">
        <f t="shared" si="2"/>
        <v>73.410959033495317</v>
      </c>
      <c r="V42" s="1051">
        <f t="shared" si="2"/>
        <v>75.315413320103232</v>
      </c>
      <c r="W42" s="1051">
        <f t="shared" si="2"/>
        <v>23286.363162223548</v>
      </c>
      <c r="X42" s="1051">
        <f t="shared" si="2"/>
        <v>0</v>
      </c>
      <c r="Y42" s="1052">
        <f t="shared" si="2"/>
        <v>0</v>
      </c>
    </row>
  </sheetData>
  <pageMargins left="0.75" right="0.75" top="1" bottom="1" header="0.5" footer="0.5"/>
  <pageSetup scale="52"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X65533"/>
  <sheetViews>
    <sheetView tabSelected="1" zoomScale="80" zoomScaleNormal="75" zoomScaleSheetLayoutView="75" workbookViewId="0">
      <selection activeCell="B53" sqref="B53"/>
    </sheetView>
  </sheetViews>
  <sheetFormatPr defaultColWidth="9.28515625" defaultRowHeight="12"/>
  <cols>
    <col min="1" max="1" width="35.140625" style="57" customWidth="1"/>
    <col min="2" max="2" width="9.5703125" style="57" bestFit="1" customWidth="1"/>
    <col min="3" max="3" width="10.7109375" style="57" bestFit="1" customWidth="1"/>
    <col min="4" max="4" width="5.85546875" style="57" customWidth="1"/>
    <col min="5" max="5" width="23.5703125" style="57" customWidth="1"/>
    <col min="6" max="6" width="11" style="57" bestFit="1" customWidth="1"/>
    <col min="7" max="7" width="12" style="57" customWidth="1"/>
    <col min="8" max="8" width="12.28515625" style="57" bestFit="1" customWidth="1"/>
    <col min="9" max="9" width="11.140625" style="57" bestFit="1" customWidth="1"/>
    <col min="10" max="10" width="6.42578125" style="57" customWidth="1"/>
    <col min="11" max="11" width="23.140625" style="57" customWidth="1"/>
    <col min="12" max="12" width="12" style="57" customWidth="1"/>
    <col min="13" max="13" width="11.5703125" style="57" customWidth="1"/>
    <col min="14" max="14" width="12" style="57" bestFit="1" customWidth="1"/>
    <col min="15" max="15" width="9" style="57" customWidth="1"/>
    <col min="16" max="16" width="12.140625" style="57" customWidth="1"/>
    <col min="17" max="17" width="5" style="20" customWidth="1"/>
    <col min="18" max="16384" width="9.28515625" style="20"/>
  </cols>
  <sheetData>
    <row r="1" spans="1:21" ht="14.25">
      <c r="B1" s="58"/>
      <c r="E1" s="1042" t="str">
        <f>IF(ABS(Loop)&gt;1,"CALC TAXES!","")</f>
        <v/>
      </c>
    </row>
    <row r="2" spans="1:21" ht="20.25">
      <c r="A2" s="1072" t="s">
        <v>686</v>
      </c>
      <c r="B2" s="1072"/>
      <c r="C2" s="1072"/>
      <c r="D2" s="1072"/>
      <c r="E2" s="1072"/>
      <c r="F2" s="1072"/>
      <c r="G2" s="1072"/>
      <c r="H2" s="1072"/>
      <c r="I2" s="1072"/>
      <c r="J2" s="1072"/>
      <c r="K2" s="1072"/>
      <c r="L2" s="1072"/>
      <c r="M2" s="1072"/>
      <c r="N2" s="1072"/>
      <c r="O2" s="1072"/>
      <c r="P2" s="1072"/>
      <c r="Q2" s="1072"/>
      <c r="R2" s="1072"/>
      <c r="S2" s="1072"/>
      <c r="T2" s="1072"/>
      <c r="U2" s="1072"/>
    </row>
    <row r="3" spans="1:21" ht="13.9" customHeight="1">
      <c r="A3" s="1073" t="s">
        <v>10</v>
      </c>
      <c r="B3" s="1073"/>
      <c r="C3" s="1073"/>
      <c r="D3" s="1073"/>
      <c r="E3" s="1073"/>
      <c r="F3" s="1073"/>
      <c r="G3" s="1073"/>
      <c r="H3" s="1073"/>
      <c r="I3" s="1073"/>
      <c r="J3" s="1073"/>
      <c r="K3" s="1073"/>
      <c r="L3" s="1073"/>
      <c r="M3" s="1073"/>
      <c r="N3" s="1073"/>
      <c r="O3" s="1073"/>
      <c r="P3" s="1073"/>
      <c r="Q3" s="1073"/>
      <c r="R3" s="1073"/>
      <c r="S3" s="1073"/>
      <c r="T3" s="1073"/>
      <c r="U3" s="1073"/>
    </row>
    <row r="4" spans="1:21" ht="13.9" customHeight="1">
      <c r="A4" s="1074" t="str">
        <f ca="1">CONCATENATE("File Location: ",CELL("filename"))</f>
        <v>File Location: H:\East Origination\Genco Third Party Scenarios\[Gleason - 501F &amp; 501FD.xls]Project Assumptions</v>
      </c>
      <c r="B4" s="1074"/>
      <c r="C4" s="1074"/>
      <c r="D4" s="1074"/>
      <c r="E4" s="1074"/>
      <c r="F4" s="1074"/>
      <c r="G4" s="1074"/>
      <c r="H4" s="1074"/>
      <c r="I4" s="1074"/>
      <c r="J4" s="1074"/>
      <c r="K4" s="1074"/>
      <c r="L4" s="1074"/>
      <c r="M4" s="1074"/>
      <c r="N4" s="1074"/>
      <c r="O4" s="1074"/>
      <c r="P4" s="1074"/>
      <c r="Q4" s="1074"/>
      <c r="R4" s="1074"/>
      <c r="S4" s="1074"/>
      <c r="T4" s="1074"/>
      <c r="U4" s="1074"/>
    </row>
    <row r="5" spans="1:21" ht="15.75">
      <c r="A5" s="355" t="s">
        <v>103</v>
      </c>
      <c r="B5" s="356"/>
      <c r="C5" s="357"/>
      <c r="E5" s="355" t="s">
        <v>11</v>
      </c>
      <c r="F5" s="356"/>
      <c r="G5" s="356"/>
      <c r="H5" s="356"/>
      <c r="I5" s="366"/>
      <c r="K5" s="371" t="s">
        <v>558</v>
      </c>
      <c r="L5" s="373"/>
      <c r="M5" s="373"/>
      <c r="N5" s="356"/>
      <c r="O5" s="356"/>
      <c r="P5" s="376"/>
      <c r="R5" s="355" t="s">
        <v>265</v>
      </c>
      <c r="S5" s="356"/>
      <c r="T5" s="356"/>
      <c r="U5" s="357"/>
    </row>
    <row r="6" spans="1:21" ht="12" customHeight="1">
      <c r="A6" s="353"/>
      <c r="B6" s="65"/>
      <c r="C6" s="80"/>
      <c r="E6" s="353"/>
      <c r="F6" s="65"/>
      <c r="G6" s="65"/>
      <c r="H6" s="65"/>
      <c r="I6" s="362"/>
      <c r="K6" s="86"/>
      <c r="L6" s="65"/>
      <c r="M6" s="893" t="s">
        <v>439</v>
      </c>
      <c r="N6" s="894">
        <v>1999</v>
      </c>
      <c r="O6" s="65"/>
      <c r="P6" s="80"/>
      <c r="R6" s="62" t="s">
        <v>116</v>
      </c>
      <c r="S6" s="65"/>
      <c r="T6" s="65"/>
      <c r="U6" s="955">
        <v>0.5</v>
      </c>
    </row>
    <row r="7" spans="1:21" ht="24.75">
      <c r="A7" s="91" t="s">
        <v>60</v>
      </c>
      <c r="B7" s="65"/>
      <c r="C7" s="80"/>
      <c r="E7" s="62" t="s">
        <v>263</v>
      </c>
      <c r="F7" s="65"/>
      <c r="G7" s="65"/>
      <c r="H7" s="361" t="s">
        <v>377</v>
      </c>
      <c r="I7" s="363" t="s">
        <v>376</v>
      </c>
      <c r="K7" s="66"/>
      <c r="L7" s="67" t="s">
        <v>373</v>
      </c>
      <c r="M7" s="68" t="s">
        <v>382</v>
      </c>
      <c r="N7" s="68" t="s">
        <v>363</v>
      </c>
      <c r="O7" s="69"/>
      <c r="P7" s="887" t="s">
        <v>503</v>
      </c>
      <c r="R7" s="62" t="s">
        <v>118</v>
      </c>
      <c r="S7" s="84"/>
      <c r="T7" s="129"/>
      <c r="U7" s="236">
        <v>1.5E-3</v>
      </c>
    </row>
    <row r="8" spans="1:21">
      <c r="A8" s="62" t="s">
        <v>13</v>
      </c>
      <c r="B8" s="63">
        <f>C8/C11</f>
        <v>0.25000000000000006</v>
      </c>
      <c r="C8" s="64">
        <f>C61-C9</f>
        <v>43592.404500000004</v>
      </c>
      <c r="E8" s="62" t="s">
        <v>12</v>
      </c>
      <c r="F8" s="65"/>
      <c r="G8" s="65"/>
      <c r="H8" s="327">
        <v>1</v>
      </c>
      <c r="I8" s="328">
        <v>2</v>
      </c>
      <c r="K8" s="70" t="s">
        <v>320</v>
      </c>
      <c r="L8" s="319">
        <v>433.07299999999998</v>
      </c>
      <c r="M8" s="71">
        <f>NetMW*AnnualHours</f>
        <v>612000</v>
      </c>
      <c r="N8" s="72">
        <f>WaterTreatmentVar/M8*1000</f>
        <v>0.70763562091503274</v>
      </c>
      <c r="O8" s="73"/>
      <c r="P8" s="241">
        <f>AVERAGE('Book Income Statement'!E25:H25)</f>
        <v>486.77390379488173</v>
      </c>
      <c r="R8" s="86" t="s">
        <v>119</v>
      </c>
      <c r="S8" s="65"/>
      <c r="T8" s="65"/>
      <c r="U8" s="126" t="s">
        <v>120</v>
      </c>
    </row>
    <row r="9" spans="1:21" ht="12.75">
      <c r="A9" s="62" t="s">
        <v>14</v>
      </c>
      <c r="B9" s="63">
        <f>C9/C11</f>
        <v>0.75</v>
      </c>
      <c r="C9" s="112">
        <f>IF(I34="Normal",'Debt Amortization'!$B$22,I38)</f>
        <v>130777.21349999998</v>
      </c>
      <c r="E9" s="62" t="s">
        <v>665</v>
      </c>
      <c r="F9" s="65"/>
      <c r="G9" s="65"/>
      <c r="H9"/>
      <c r="I9" s="1066">
        <v>535.29999999999995</v>
      </c>
      <c r="K9" s="70" t="s">
        <v>431</v>
      </c>
      <c r="L9" s="319">
        <f>M9*N9/1000</f>
        <v>30.6</v>
      </c>
      <c r="M9" s="71">
        <f>NetMW*AnnualHours</f>
        <v>612000</v>
      </c>
      <c r="N9" s="72">
        <v>0.05</v>
      </c>
      <c r="O9" s="73"/>
      <c r="P9" s="241">
        <f>AVERAGE('Book Income Statement'!E26:H26)</f>
        <v>34.3943895281474</v>
      </c>
      <c r="R9" s="62" t="s">
        <v>637</v>
      </c>
      <c r="S9" s="65"/>
      <c r="T9" s="65"/>
      <c r="U9" s="236">
        <v>2.98E-3</v>
      </c>
    </row>
    <row r="10" spans="1:21" ht="14.25">
      <c r="A10" s="74"/>
      <c r="B10" s="75"/>
      <c r="C10" s="76"/>
      <c r="E10" s="62" t="s">
        <v>371</v>
      </c>
      <c r="F10" s="65"/>
      <c r="G10" s="65"/>
      <c r="H10" s="1029"/>
      <c r="I10" s="980">
        <v>510</v>
      </c>
      <c r="K10" s="70" t="s">
        <v>321</v>
      </c>
      <c r="L10" s="320">
        <v>281</v>
      </c>
      <c r="M10" s="71">
        <f>NetMW*AnnualHours</f>
        <v>612000</v>
      </c>
      <c r="N10" s="78">
        <f>Variable/M10*1000</f>
        <v>0.4591503267973856</v>
      </c>
      <c r="O10" s="79"/>
      <c r="P10" s="888">
        <f>AVERAGE('Book Income Statement'!E27:H27)</f>
        <v>315.84390383690913</v>
      </c>
      <c r="R10" s="62" t="s">
        <v>117</v>
      </c>
      <c r="S10" s="65"/>
      <c r="T10" s="65"/>
      <c r="U10" s="236">
        <v>2.4399999999999999E-3</v>
      </c>
    </row>
    <row r="11" spans="1:21">
      <c r="A11" s="62" t="s">
        <v>15</v>
      </c>
      <c r="B11" s="75"/>
      <c r="C11" s="354">
        <f>SUM(C8:C9)</f>
        <v>174369.61799999999</v>
      </c>
      <c r="E11" s="62" t="s">
        <v>608</v>
      </c>
      <c r="F11" s="1028">
        <v>0.02</v>
      </c>
      <c r="G11" s="65" t="s">
        <v>609</v>
      </c>
      <c r="H11" s="1029"/>
      <c r="I11" s="1030">
        <f>NetMW*(1-F11)</f>
        <v>499.8</v>
      </c>
      <c r="K11" s="101" t="s">
        <v>525</v>
      </c>
      <c r="L11" s="104">
        <f>SUM(L8:L10)</f>
        <v>744.673</v>
      </c>
      <c r="M11" s="102"/>
      <c r="N11" s="330">
        <f>SUM(N8:N10)</f>
        <v>1.2167859477124183</v>
      </c>
      <c r="O11" s="105"/>
      <c r="P11" s="889">
        <f>AVERAGE('Book Income Statement'!E28:H28)</f>
        <v>837.0121971599383</v>
      </c>
      <c r="R11" s="242" t="s">
        <v>283</v>
      </c>
      <c r="S11" s="243"/>
      <c r="T11" s="118"/>
      <c r="U11" s="126" t="s">
        <v>120</v>
      </c>
    </row>
    <row r="12" spans="1:21">
      <c r="A12" s="85"/>
      <c r="B12" s="75"/>
      <c r="C12" s="80"/>
      <c r="E12" s="81" t="s">
        <v>24</v>
      </c>
      <c r="F12" s="65"/>
      <c r="G12" s="65"/>
      <c r="H12" s="1031"/>
      <c r="I12" s="1032">
        <v>10904</v>
      </c>
      <c r="K12" s="65"/>
      <c r="L12" s="65"/>
      <c r="M12" s="65"/>
      <c r="N12" s="65"/>
      <c r="O12" s="87"/>
      <c r="P12" s="329"/>
      <c r="R12" s="62" t="s">
        <v>636</v>
      </c>
      <c r="S12" s="65"/>
      <c r="T12" s="129"/>
      <c r="U12" s="956">
        <v>3.8600000000000001E-3</v>
      </c>
    </row>
    <row r="13" spans="1:21" ht="15.75">
      <c r="A13" s="86"/>
      <c r="B13" s="65"/>
      <c r="C13" s="80"/>
      <c r="E13" s="62" t="s">
        <v>1</v>
      </c>
      <c r="F13" s="65"/>
      <c r="G13" s="65"/>
      <c r="H13" s="1029"/>
      <c r="I13" s="1033">
        <f>G14/8760</f>
        <v>0.13698630136986301</v>
      </c>
      <c r="K13" s="899" t="s">
        <v>505</v>
      </c>
      <c r="L13" s="900"/>
      <c r="M13" s="373"/>
      <c r="N13" s="901"/>
      <c r="O13" s="902"/>
      <c r="P13" s="903"/>
      <c r="R13" s="244" t="s">
        <v>329</v>
      </c>
      <c r="S13" s="245"/>
      <c r="T13" s="246"/>
      <c r="U13" s="957">
        <f>AVERAGE(Depreciation!D51:AB51)</f>
        <v>245.60635647999996</v>
      </c>
    </row>
    <row r="14" spans="1:21" ht="24.75">
      <c r="A14" s="91" t="s">
        <v>61</v>
      </c>
      <c r="B14" s="75"/>
      <c r="C14" s="80"/>
      <c r="E14" s="62" t="s">
        <v>97</v>
      </c>
      <c r="F14" s="65"/>
      <c r="G14" s="77">
        <v>1200</v>
      </c>
      <c r="H14" s="82" t="s">
        <v>344</v>
      </c>
      <c r="I14" s="88">
        <v>0</v>
      </c>
      <c r="K14" s="86"/>
      <c r="L14" s="938" t="s">
        <v>506</v>
      </c>
      <c r="M14" s="939" t="s">
        <v>507</v>
      </c>
      <c r="N14" s="940" t="s">
        <v>508</v>
      </c>
      <c r="O14" s="941" t="s">
        <v>529</v>
      </c>
      <c r="P14" s="892" t="s">
        <v>509</v>
      </c>
    </row>
    <row r="15" spans="1:21" ht="15.75">
      <c r="A15" s="92" t="s">
        <v>104</v>
      </c>
      <c r="B15" s="75"/>
      <c r="C15" s="80"/>
      <c r="E15" s="62" t="s">
        <v>16</v>
      </c>
      <c r="F15" s="65"/>
      <c r="G15" s="65"/>
      <c r="H15" s="77"/>
      <c r="I15" s="334">
        <v>20</v>
      </c>
      <c r="K15" s="70" t="s">
        <v>306</v>
      </c>
      <c r="L15" s="904">
        <v>120</v>
      </c>
      <c r="M15" s="905">
        <f>N15/(H8+I8)</f>
        <v>6379</v>
      </c>
      <c r="N15" s="905">
        <f>VLOOKUP(L15,Main_Table,2)</f>
        <v>19137</v>
      </c>
      <c r="O15" s="69">
        <f>Main_Start*L15/1000</f>
        <v>2296.44</v>
      </c>
      <c r="P15" s="906">
        <v>0.03</v>
      </c>
      <c r="R15" s="355" t="s">
        <v>266</v>
      </c>
      <c r="S15" s="356"/>
      <c r="T15" s="356"/>
      <c r="U15" s="357"/>
    </row>
    <row r="16" spans="1:21">
      <c r="A16" s="62" t="s">
        <v>347</v>
      </c>
      <c r="B16" s="75"/>
      <c r="C16" s="1053">
        <f>60842.74+34480.361</f>
        <v>95323.100999999995</v>
      </c>
      <c r="E16" s="62" t="s">
        <v>20</v>
      </c>
      <c r="F16" s="65"/>
      <c r="G16" s="93">
        <v>36678</v>
      </c>
      <c r="H16" s="65" t="s">
        <v>328</v>
      </c>
      <c r="I16" s="94">
        <f>(MONTH(StartDate)+1)/12</f>
        <v>0.58333333333333337</v>
      </c>
      <c r="K16" s="70" t="s">
        <v>510</v>
      </c>
      <c r="L16" s="904">
        <v>120</v>
      </c>
      <c r="M16" s="907">
        <f>N16/(H8+I8)</f>
        <v>0</v>
      </c>
      <c r="N16" s="907">
        <f>VLOOKUP(L16,Main_Table,3)</f>
        <v>0</v>
      </c>
      <c r="O16" s="73">
        <f>Fuel_Start*L16/1000</f>
        <v>0</v>
      </c>
      <c r="P16" s="908"/>
      <c r="R16" s="86" t="s">
        <v>44</v>
      </c>
      <c r="S16" s="65"/>
      <c r="T16" s="65"/>
      <c r="U16" s="147">
        <f>$C$8/'Book Income Statement'!$E$75</f>
        <v>10.549323825791401</v>
      </c>
    </row>
    <row r="17" spans="1:24">
      <c r="A17" s="62" t="s">
        <v>346</v>
      </c>
      <c r="B17" s="75"/>
      <c r="C17" s="1053">
        <v>5893.8109999999997</v>
      </c>
      <c r="E17" s="62" t="s">
        <v>358</v>
      </c>
      <c r="F17" s="65"/>
      <c r="G17" s="93">
        <v>43981</v>
      </c>
      <c r="H17" s="65"/>
      <c r="I17" s="94"/>
      <c r="K17" s="237"/>
      <c r="L17" s="104"/>
      <c r="M17" s="909">
        <f>SUM(M15:M16)</f>
        <v>6379</v>
      </c>
      <c r="N17" s="909">
        <f>SUM(N15:N16)</f>
        <v>19137</v>
      </c>
      <c r="O17" s="942">
        <f>SUM(O15:O16)</f>
        <v>2296.44</v>
      </c>
      <c r="P17" s="889"/>
      <c r="R17" s="86" t="s">
        <v>46</v>
      </c>
      <c r="S17" s="65"/>
      <c r="T17" s="65"/>
      <c r="U17" s="111">
        <v>30</v>
      </c>
    </row>
    <row r="18" spans="1:24">
      <c r="A18" s="62" t="s">
        <v>667</v>
      </c>
      <c r="B18" s="75"/>
      <c r="C18" s="1053">
        <v>929.8</v>
      </c>
      <c r="E18" s="95" t="s">
        <v>114</v>
      </c>
      <c r="F18" s="96" t="s">
        <v>284</v>
      </c>
      <c r="G18" s="364">
        <f>C61/I10</f>
        <v>341.90121176470586</v>
      </c>
      <c r="H18" s="96" t="s">
        <v>285</v>
      </c>
      <c r="I18" s="365">
        <f>(C61-C50)/I10</f>
        <v>341.90121176470586</v>
      </c>
      <c r="K18" s="65"/>
      <c r="L18" s="65"/>
      <c r="M18" s="65"/>
      <c r="N18" s="65"/>
      <c r="O18" s="87"/>
      <c r="P18" s="329"/>
      <c r="R18" s="86" t="s">
        <v>47</v>
      </c>
      <c r="S18" s="65"/>
      <c r="T18" s="65"/>
      <c r="U18" s="196">
        <v>0.1</v>
      </c>
    </row>
    <row r="19" spans="1:24" ht="15.75">
      <c r="A19" s="62" t="s">
        <v>668</v>
      </c>
      <c r="B19" s="75"/>
      <c r="C19" s="1053">
        <v>2840.7</v>
      </c>
      <c r="E19" s="97"/>
      <c r="G19" s="98"/>
      <c r="H19" s="99"/>
      <c r="I19" s="100"/>
      <c r="K19" s="371" t="s">
        <v>534</v>
      </c>
      <c r="L19" s="373"/>
      <c r="M19" s="373"/>
      <c r="N19" s="374"/>
      <c r="O19" s="375"/>
      <c r="P19" s="372"/>
      <c r="R19" s="95" t="s">
        <v>330</v>
      </c>
      <c r="S19" s="105"/>
      <c r="T19" s="105"/>
      <c r="U19" s="958">
        <v>1.3490953938988963E-2</v>
      </c>
      <c r="V19"/>
      <c r="W19"/>
      <c r="X19"/>
    </row>
    <row r="20" spans="1:24" ht="15.75">
      <c r="A20" s="62" t="s">
        <v>669</v>
      </c>
      <c r="B20" s="75"/>
      <c r="C20" s="1053">
        <v>3066.7</v>
      </c>
      <c r="E20" s="371" t="s">
        <v>555</v>
      </c>
      <c r="F20" s="968"/>
      <c r="G20" s="969"/>
      <c r="H20" s="968"/>
      <c r="I20" s="970"/>
      <c r="K20" s="70" t="s">
        <v>322</v>
      </c>
      <c r="L20" s="84"/>
      <c r="M20" s="84"/>
      <c r="N20" s="959">
        <v>727</v>
      </c>
      <c r="O20" s="65"/>
      <c r="P20" s="241">
        <f>AVERAGE('Book Income Statement'!D37:G37)</f>
        <v>705.18439180083328</v>
      </c>
      <c r="V20"/>
      <c r="W20"/>
      <c r="X20"/>
    </row>
    <row r="21" spans="1:24" ht="15.75">
      <c r="A21" s="62" t="s">
        <v>357</v>
      </c>
      <c r="B21" s="75"/>
      <c r="C21" s="1055">
        <v>32135.1</v>
      </c>
      <c r="E21" s="86" t="s">
        <v>556</v>
      </c>
      <c r="F21" s="87">
        <f>VariableMwh</f>
        <v>1.2167859477124183</v>
      </c>
      <c r="G21" s="972" t="s">
        <v>559</v>
      </c>
      <c r="H21" s="971"/>
      <c r="I21" s="973">
        <v>0.03</v>
      </c>
      <c r="K21" s="70" t="s">
        <v>323</v>
      </c>
      <c r="L21" s="84"/>
      <c r="M21" s="84"/>
      <c r="N21" s="959">
        <v>270</v>
      </c>
      <c r="O21" s="65"/>
      <c r="P21" s="241">
        <f>AVERAGE('Book Income Statement'!D38:G38)</f>
        <v>261.89791717499998</v>
      </c>
      <c r="R21" s="371" t="s">
        <v>422</v>
      </c>
      <c r="S21" s="356"/>
      <c r="T21" s="356"/>
      <c r="U21" s="357"/>
      <c r="V21"/>
      <c r="W21"/>
      <c r="X21"/>
    </row>
    <row r="22" spans="1:24" ht="12.75">
      <c r="A22" s="62" t="s">
        <v>670</v>
      </c>
      <c r="B22" s="75"/>
      <c r="C22" s="1055">
        <v>10311.044</v>
      </c>
      <c r="E22" s="86" t="s">
        <v>557</v>
      </c>
      <c r="F22" s="1038">
        <f>M17</f>
        <v>6379</v>
      </c>
      <c r="G22" s="972" t="s">
        <v>560</v>
      </c>
      <c r="H22" s="971"/>
      <c r="I22" s="1041"/>
      <c r="K22" s="70" t="s">
        <v>494</v>
      </c>
      <c r="L22" s="84"/>
      <c r="M22" s="84"/>
      <c r="N22" s="960">
        <f>NetMW/2890*1000</f>
        <v>176.47058823529412</v>
      </c>
      <c r="O22" s="65"/>
      <c r="P22" s="241">
        <f>AVERAGE('Book Income Statement'!D39:G39)</f>
        <v>171.17510926470587</v>
      </c>
      <c r="R22" s="86"/>
      <c r="S22" s="65"/>
      <c r="T22" s="65"/>
      <c r="U22" s="80"/>
      <c r="V22"/>
      <c r="W22"/>
      <c r="X22"/>
    </row>
    <row r="23" spans="1:24" ht="12.75">
      <c r="A23" s="62" t="s">
        <v>671</v>
      </c>
      <c r="B23" s="75"/>
      <c r="C23" s="1055">
        <v>2125.8000000000002</v>
      </c>
      <c r="E23" s="95" t="s">
        <v>621</v>
      </c>
      <c r="F23" s="1039">
        <v>1</v>
      </c>
      <c r="G23" s="364" t="s">
        <v>363</v>
      </c>
      <c r="H23" s="105" t="s">
        <v>622</v>
      </c>
      <c r="I23" s="1040">
        <v>0.02</v>
      </c>
      <c r="K23" s="70" t="s">
        <v>610</v>
      </c>
      <c r="L23" s="1036">
        <v>7.0000000000000007E-2</v>
      </c>
      <c r="M23" s="84" t="s">
        <v>611</v>
      </c>
      <c r="N23" s="960">
        <f>L23*(ISO_NetMW*(1-Deg_Rate)*12)</f>
        <v>440.65895999999998</v>
      </c>
      <c r="O23" s="65"/>
      <c r="P23" s="241">
        <f>AVERAGE('Book Income Statement'!D40:G40)</f>
        <v>64.262765000000002</v>
      </c>
      <c r="R23" s="86" t="s">
        <v>423</v>
      </c>
      <c r="S23" s="65"/>
      <c r="T23" s="332"/>
      <c r="U23" s="981" t="str">
        <f>IF(ABS(SUM(BS!D38:X38))&gt;0.01,"NO !!!!!!","YES")</f>
        <v>YES</v>
      </c>
      <c r="V23"/>
      <c r="W23"/>
      <c r="X23"/>
    </row>
    <row r="24" spans="1:24" ht="15">
      <c r="A24" s="86" t="s">
        <v>348</v>
      </c>
      <c r="B24" s="75"/>
      <c r="C24" s="1056">
        <v>1247.0070000000001</v>
      </c>
      <c r="E24" s="97"/>
      <c r="G24" s="98"/>
      <c r="H24" s="99"/>
      <c r="I24" s="100"/>
      <c r="K24" s="86" t="s">
        <v>493</v>
      </c>
      <c r="L24" s="65"/>
      <c r="M24" s="65"/>
      <c r="N24" s="961">
        <v>250</v>
      </c>
      <c r="O24" s="65"/>
      <c r="P24" s="888">
        <f>AVERAGE('Book Income Statement'!D41:G41)</f>
        <v>242.49807145833333</v>
      </c>
      <c r="R24" s="86" t="s">
        <v>424</v>
      </c>
      <c r="S24" s="65"/>
      <c r="T24" s="332"/>
      <c r="U24" s="90">
        <f>Depreciation!B40</f>
        <v>173977.94999999998</v>
      </c>
      <c r="V24"/>
      <c r="W24"/>
      <c r="X24"/>
    </row>
    <row r="25" spans="1:24" ht="15.75">
      <c r="A25" s="62" t="s">
        <v>115</v>
      </c>
      <c r="B25" s="75"/>
      <c r="C25" s="1055">
        <v>369.041</v>
      </c>
      <c r="E25" s="355" t="s">
        <v>262</v>
      </c>
      <c r="F25" s="356"/>
      <c r="G25" s="356"/>
      <c r="H25" s="356"/>
      <c r="I25" s="367"/>
      <c r="K25" s="101" t="s">
        <v>324</v>
      </c>
      <c r="L25" s="102"/>
      <c r="M25" s="103"/>
      <c r="N25" s="104">
        <f>SUM(N20:N24)</f>
        <v>1864.1295482352941</v>
      </c>
      <c r="O25" s="105"/>
      <c r="P25" s="889">
        <f>SUM(P20:P24)</f>
        <v>1445.0182546988724</v>
      </c>
      <c r="R25" s="316" t="s">
        <v>425</v>
      </c>
      <c r="S25" s="65"/>
      <c r="T25" s="332"/>
      <c r="U25" s="982">
        <f>C61</f>
        <v>174369.61799999999</v>
      </c>
      <c r="V25"/>
      <c r="W25"/>
      <c r="X25"/>
    </row>
    <row r="26" spans="1:24" ht="12.75">
      <c r="A26" s="62" t="s">
        <v>641</v>
      </c>
      <c r="B26" s="75"/>
      <c r="C26" s="1055">
        <v>0</v>
      </c>
      <c r="E26" s="110" t="s">
        <v>359</v>
      </c>
      <c r="F26" s="65"/>
      <c r="G26" s="65"/>
      <c r="H26" s="65"/>
      <c r="I26" s="111">
        <v>3</v>
      </c>
      <c r="K26" s="107"/>
      <c r="L26" s="60"/>
      <c r="M26" s="60"/>
      <c r="N26" s="108"/>
      <c r="P26" s="109"/>
      <c r="Q26" s="22"/>
      <c r="R26" s="86" t="s">
        <v>426</v>
      </c>
      <c r="S26" s="65"/>
      <c r="T26" s="332"/>
      <c r="U26" s="983">
        <f>U25-U24</f>
        <v>391.66800000000512</v>
      </c>
      <c r="V26"/>
      <c r="W26"/>
      <c r="X26"/>
    </row>
    <row r="27" spans="1:24" ht="15.75">
      <c r="A27" s="86" t="s">
        <v>233</v>
      </c>
      <c r="B27" s="65"/>
      <c r="C27" s="1056">
        <v>1100</v>
      </c>
      <c r="E27" s="110" t="s">
        <v>158</v>
      </c>
      <c r="F27" s="65"/>
      <c r="G27" s="65"/>
      <c r="H27" s="65"/>
      <c r="I27" s="112">
        <f>I10</f>
        <v>510</v>
      </c>
      <c r="K27" s="371" t="s">
        <v>462</v>
      </c>
      <c r="L27" s="356"/>
      <c r="M27" s="356"/>
      <c r="N27" s="356"/>
      <c r="O27" s="356"/>
      <c r="P27" s="372"/>
      <c r="R27" s="86"/>
      <c r="S27" s="65"/>
      <c r="T27" s="332"/>
      <c r="U27" s="983"/>
      <c r="V27"/>
    </row>
    <row r="28" spans="1:24" ht="12.75">
      <c r="A28" s="62" t="s">
        <v>672</v>
      </c>
      <c r="B28" s="114"/>
      <c r="C28" s="1056">
        <v>3700</v>
      </c>
      <c r="E28" s="115" t="s">
        <v>140</v>
      </c>
      <c r="F28" s="116"/>
      <c r="G28" s="116"/>
      <c r="H28" s="116"/>
      <c r="I28" s="117">
        <f>AnnualHours</f>
        <v>1200</v>
      </c>
      <c r="K28" s="113" t="s">
        <v>241</v>
      </c>
      <c r="L28" s="65"/>
      <c r="M28" s="893" t="s">
        <v>439</v>
      </c>
      <c r="N28" s="894">
        <v>1999</v>
      </c>
      <c r="O28" s="65"/>
      <c r="P28" s="887" t="s">
        <v>503</v>
      </c>
      <c r="R28" s="86" t="s">
        <v>583</v>
      </c>
      <c r="S28" s="65"/>
      <c r="T28" s="332"/>
      <c r="U28" s="984">
        <f>C25</f>
        <v>369.041</v>
      </c>
      <c r="V28"/>
      <c r="W28"/>
    </row>
    <row r="29" spans="1:24" ht="12.75">
      <c r="A29" s="86" t="s">
        <v>172</v>
      </c>
      <c r="B29" s="386">
        <v>0.06</v>
      </c>
      <c r="C29" s="1057">
        <v>675</v>
      </c>
      <c r="E29" s="115" t="s">
        <v>327</v>
      </c>
      <c r="F29" s="116"/>
      <c r="G29" s="116"/>
      <c r="H29" s="116"/>
      <c r="I29" s="119">
        <v>4</v>
      </c>
      <c r="K29" s="70" t="s">
        <v>132</v>
      </c>
      <c r="L29" s="65"/>
      <c r="M29" s="65"/>
      <c r="N29" s="321">
        <v>10</v>
      </c>
      <c r="O29" s="65"/>
      <c r="P29" s="241"/>
      <c r="R29" s="86" t="s">
        <v>681</v>
      </c>
      <c r="S29" s="383"/>
      <c r="T29" s="65"/>
      <c r="U29" s="1069">
        <f>C41+C42</f>
        <v>22.626999999999999</v>
      </c>
      <c r="V29"/>
      <c r="W29"/>
    </row>
    <row r="30" spans="1:24" ht="12.75">
      <c r="A30" s="62" t="s">
        <v>528</v>
      </c>
      <c r="B30" s="75"/>
      <c r="C30" s="1054">
        <v>500</v>
      </c>
      <c r="E30" s="115" t="s">
        <v>260</v>
      </c>
      <c r="F30" s="116"/>
      <c r="G30" s="116"/>
      <c r="H30" s="116"/>
      <c r="I30" s="120">
        <v>0</v>
      </c>
      <c r="K30" s="70" t="s">
        <v>325</v>
      </c>
      <c r="L30" s="65"/>
      <c r="M30" s="65"/>
      <c r="N30" s="321">
        <v>50</v>
      </c>
      <c r="O30" s="65"/>
      <c r="P30" s="241"/>
      <c r="R30" s="95"/>
      <c r="S30" s="105"/>
      <c r="T30" s="105"/>
      <c r="U30" s="1070">
        <f>SUM(U28:U29)</f>
        <v>391.66800000000001</v>
      </c>
      <c r="V30"/>
      <c r="W30"/>
    </row>
    <row r="31" spans="1:24" ht="15">
      <c r="A31" s="62"/>
      <c r="B31" s="121"/>
      <c r="C31" s="323">
        <f>SUM(C16:C30)</f>
        <v>160217.10399999999</v>
      </c>
      <c r="E31" s="95" t="s">
        <v>316</v>
      </c>
      <c r="F31" s="105"/>
      <c r="G31" s="105"/>
      <c r="H31" s="105"/>
      <c r="I31" s="122">
        <v>0.03</v>
      </c>
      <c r="K31" s="70" t="s">
        <v>473</v>
      </c>
      <c r="L31" s="65"/>
      <c r="M31" s="65"/>
      <c r="N31" s="322">
        <v>207</v>
      </c>
      <c r="O31" s="65"/>
      <c r="P31" s="888"/>
      <c r="V31"/>
      <c r="W31"/>
    </row>
    <row r="32" spans="1:24" ht="12.75">
      <c r="A32" s="92" t="s">
        <v>105</v>
      </c>
      <c r="B32" s="75"/>
      <c r="C32" s="324"/>
      <c r="K32" s="70" t="s">
        <v>242</v>
      </c>
      <c r="L32" s="84"/>
      <c r="M32" s="123"/>
      <c r="N32" s="124">
        <f>SUM(N29:N31)</f>
        <v>267</v>
      </c>
      <c r="O32" s="65"/>
      <c r="P32" s="241">
        <f>AVERAGE('Book Income Statement'!E45:H45)</f>
        <v>296.263859777025</v>
      </c>
      <c r="V32"/>
      <c r="W32"/>
    </row>
    <row r="33" spans="1:16" ht="15.75">
      <c r="A33" s="62" t="s">
        <v>286</v>
      </c>
      <c r="B33" s="75"/>
      <c r="C33" s="318">
        <v>0</v>
      </c>
      <c r="E33" s="355" t="s">
        <v>19</v>
      </c>
      <c r="F33" s="368"/>
      <c r="G33" s="356"/>
      <c r="H33" s="356"/>
      <c r="I33" s="357"/>
      <c r="K33" s="70" t="s">
        <v>588</v>
      </c>
      <c r="L33" s="84"/>
      <c r="M33" s="84"/>
      <c r="N33" s="89">
        <v>70</v>
      </c>
      <c r="O33" s="65"/>
      <c r="P33" s="241">
        <f>AVERAGE('Book Income Statement'!E46:H46)</f>
        <v>77.672172975249993</v>
      </c>
    </row>
    <row r="34" spans="1:16">
      <c r="A34" s="62" t="s">
        <v>342</v>
      </c>
      <c r="B34" s="125"/>
      <c r="C34" s="1056">
        <v>908.78599999999994</v>
      </c>
      <c r="E34" s="86" t="s">
        <v>267</v>
      </c>
      <c r="F34" s="65"/>
      <c r="G34" s="65"/>
      <c r="H34" s="65"/>
      <c r="I34" s="126" t="s">
        <v>651</v>
      </c>
      <c r="K34" s="70" t="s">
        <v>587</v>
      </c>
      <c r="L34" s="84"/>
      <c r="M34" s="84"/>
      <c r="N34" s="89">
        <v>138</v>
      </c>
      <c r="O34" s="65"/>
      <c r="P34" s="241"/>
    </row>
    <row r="35" spans="1:16">
      <c r="A35" s="62" t="s">
        <v>280</v>
      </c>
      <c r="B35" s="75"/>
      <c r="C35" s="1055">
        <v>540</v>
      </c>
      <c r="E35" s="86"/>
      <c r="F35" s="65"/>
      <c r="G35" s="65"/>
      <c r="H35" s="65"/>
      <c r="I35" s="80"/>
      <c r="K35" s="86" t="s">
        <v>9</v>
      </c>
      <c r="L35" s="65"/>
      <c r="M35" s="65"/>
      <c r="N35" s="127">
        <v>82</v>
      </c>
      <c r="O35" s="65"/>
      <c r="P35" s="241">
        <f>AVERAGE('Book Income Statement'!E48:H48)</f>
        <v>90.987402628149994</v>
      </c>
    </row>
    <row r="36" spans="1:16">
      <c r="A36" s="86" t="s">
        <v>279</v>
      </c>
      <c r="B36" s="129"/>
      <c r="C36" s="1055">
        <v>200</v>
      </c>
      <c r="E36" s="86"/>
      <c r="F36" s="130" t="s">
        <v>109</v>
      </c>
      <c r="G36" s="130" t="s">
        <v>112</v>
      </c>
      <c r="H36" s="130" t="s">
        <v>188</v>
      </c>
      <c r="I36" s="131" t="s">
        <v>189</v>
      </c>
      <c r="K36" s="86" t="s">
        <v>465</v>
      </c>
      <c r="L36" s="65"/>
      <c r="M36" s="65"/>
      <c r="N36" s="127">
        <v>30</v>
      </c>
      <c r="O36" s="65"/>
      <c r="P36" s="241">
        <f>AVERAGE('Book Income Statement'!E49:H49)</f>
        <v>33.288074132250003</v>
      </c>
    </row>
    <row r="37" spans="1:16" ht="14.25">
      <c r="A37" s="62" t="s">
        <v>281</v>
      </c>
      <c r="B37" s="129"/>
      <c r="C37" s="1055">
        <v>186.82</v>
      </c>
      <c r="E37" s="74" t="s">
        <v>190</v>
      </c>
      <c r="F37" s="132">
        <f>IF($I$34="Normal",'Debt Amortization'!B19,0)</f>
        <v>0</v>
      </c>
      <c r="G37" s="133">
        <f>IF($I$34="Normal",'Debt Amortization'!B20,0)</f>
        <v>0</v>
      </c>
      <c r="H37" s="133">
        <f>IF($I$34="Normal",'Debt Amortization'!B21,0)</f>
        <v>0</v>
      </c>
      <c r="I37" s="1026">
        <f>SUM(F37:H37)</f>
        <v>0</v>
      </c>
      <c r="K37" s="86" t="s">
        <v>8</v>
      </c>
      <c r="L37" s="65"/>
      <c r="M37" s="65"/>
      <c r="N37" s="128">
        <v>75</v>
      </c>
      <c r="O37" s="65"/>
      <c r="P37" s="888">
        <f>AVERAGE('Book Income Statement'!E50:H50)</f>
        <v>83.220185330624986</v>
      </c>
    </row>
    <row r="38" spans="1:16">
      <c r="A38" s="62" t="s">
        <v>287</v>
      </c>
      <c r="B38" s="385">
        <v>2.5000000000000001E-3</v>
      </c>
      <c r="C38" s="1055">
        <v>0</v>
      </c>
      <c r="E38" s="74" t="s">
        <v>605</v>
      </c>
      <c r="F38" s="1025">
        <f>C61*0.75*0.16</f>
        <v>20924.354159999999</v>
      </c>
      <c r="G38" s="1067">
        <f>C61*0.75*0.3</f>
        <v>39233.164049999992</v>
      </c>
      <c r="H38" s="1067">
        <f>C61*0.75*0.54</f>
        <v>70619.695289999989</v>
      </c>
      <c r="I38" s="1026">
        <f>SUM(F38:H38)</f>
        <v>130777.21349999998</v>
      </c>
      <c r="K38" s="83" t="s">
        <v>326</v>
      </c>
      <c r="L38" s="65"/>
      <c r="M38" s="65"/>
      <c r="N38" s="890">
        <f>SUM(N32:N37)</f>
        <v>662</v>
      </c>
      <c r="O38" s="891"/>
      <c r="P38" s="892">
        <f>SUM(P32:P37)</f>
        <v>581.43169484329997</v>
      </c>
    </row>
    <row r="39" spans="1:16">
      <c r="A39" s="62" t="s">
        <v>341</v>
      </c>
      <c r="B39" s="75"/>
      <c r="C39" s="1056">
        <v>617.31200000000001</v>
      </c>
      <c r="E39" s="74" t="s">
        <v>191</v>
      </c>
      <c r="F39" s="134">
        <f>IF(I34="Normal",3,4)</f>
        <v>4</v>
      </c>
      <c r="G39" s="135">
        <f>IF(I34="Normal",20,10)</f>
        <v>10</v>
      </c>
      <c r="H39" s="134">
        <f>IF(I34="Normal",0,20)</f>
        <v>20</v>
      </c>
      <c r="I39" s="80">
        <f>MAX(F39,G39,H39)</f>
        <v>20</v>
      </c>
      <c r="K39" s="86"/>
      <c r="L39" s="65"/>
      <c r="M39" s="65"/>
      <c r="N39" s="65"/>
      <c r="O39" s="65"/>
      <c r="P39" s="90"/>
    </row>
    <row r="40" spans="1:16">
      <c r="A40" s="62" t="s">
        <v>343</v>
      </c>
      <c r="B40" s="125"/>
      <c r="C40" s="1055">
        <v>496.45699999999999</v>
      </c>
      <c r="E40" s="138" t="s">
        <v>208</v>
      </c>
      <c r="F40" s="139">
        <f>IF(I34="Normal",7.75%,6.725%)</f>
        <v>6.724999999999999E-2</v>
      </c>
      <c r="G40" s="139">
        <f>IF(I34="Normal",8%,7.57%)</f>
        <v>7.5700000000000003E-2</v>
      </c>
      <c r="H40" s="139">
        <f>IF(I34="Normal",0,8.18%)</f>
        <v>8.1799999999999998E-2</v>
      </c>
      <c r="I40" s="140">
        <f>IF(I34="Normal",F40*($F$37/$I$37)+G40*($G$37/$I$37)+H40*($H$37/$I$37),_Int1*(Principal1/I38)+_Int2*(Principal2/I38)+_Int3*(Principal3/I38))</f>
        <v>7.7642000000000003E-2</v>
      </c>
      <c r="K40" s="136" t="s">
        <v>21</v>
      </c>
      <c r="L40" s="84"/>
      <c r="M40" s="84"/>
      <c r="N40" s="137">
        <v>0.03</v>
      </c>
      <c r="O40" s="65"/>
      <c r="P40" s="90"/>
    </row>
    <row r="41" spans="1:16">
      <c r="A41" s="62" t="s">
        <v>662</v>
      </c>
      <c r="B41" s="125"/>
      <c r="C41" s="1055">
        <v>0</v>
      </c>
      <c r="E41" s="74" t="s">
        <v>192</v>
      </c>
      <c r="F41" s="142">
        <v>1.3</v>
      </c>
      <c r="G41" s="142">
        <v>2.5</v>
      </c>
      <c r="H41" s="143">
        <v>2.5</v>
      </c>
      <c r="I41" s="144">
        <f>IF(I34="Normal",F41*($F$37/$I$37)+G41*($G$37/$I$37)+H41*($H$37/$I$37),F41*(Principal1/I38)+G41*(Principal2/I38)+H41*(Principal3/I38))</f>
        <v>2.3079999999999998</v>
      </c>
      <c r="K41" s="141" t="s">
        <v>22</v>
      </c>
      <c r="L41" s="102"/>
      <c r="M41" s="102"/>
      <c r="N41" s="103">
        <v>0.03</v>
      </c>
      <c r="O41" s="105"/>
      <c r="P41" s="106"/>
    </row>
    <row r="42" spans="1:16">
      <c r="A42" s="62" t="s">
        <v>663</v>
      </c>
      <c r="B42" s="125"/>
      <c r="C42" s="1055">
        <v>22.626999999999999</v>
      </c>
      <c r="E42" s="62" t="s">
        <v>232</v>
      </c>
      <c r="F42" s="65"/>
      <c r="G42" s="146" t="s">
        <v>271</v>
      </c>
      <c r="H42" s="146"/>
      <c r="I42" s="147"/>
      <c r="K42" s="60"/>
      <c r="L42" s="60"/>
      <c r="M42" s="60"/>
      <c r="N42" s="145"/>
      <c r="O42" s="65"/>
      <c r="P42" s="109"/>
    </row>
    <row r="43" spans="1:16" ht="15.75">
      <c r="A43" s="86" t="s">
        <v>59</v>
      </c>
      <c r="B43" s="129"/>
      <c r="C43" s="1058">
        <v>0</v>
      </c>
      <c r="E43" s="149" t="s">
        <v>213</v>
      </c>
      <c r="F43" s="150">
        <f>IF(F37&gt;0,'Debt Amortization'!$E$31,'Debt Amortization'!C74)</f>
        <v>2.5</v>
      </c>
      <c r="G43" s="151">
        <f>IF(G37&gt;0,'Debt Amortization'!$E$39,'Debt Amortization'!C89)</f>
        <v>7.45</v>
      </c>
      <c r="H43" s="151">
        <f>IF(H37&gt;0,'Debt Amortization'!$E$47,'Debt Amortization'!C104)</f>
        <v>15.390000000000002</v>
      </c>
      <c r="I43" s="152">
        <f>+'Debt Amortization'!E56</f>
        <v>10.945600000000001</v>
      </c>
      <c r="K43" s="377" t="s">
        <v>463</v>
      </c>
      <c r="L43" s="378"/>
      <c r="M43" s="378"/>
      <c r="N43" s="379"/>
      <c r="O43" s="356"/>
      <c r="P43" s="372"/>
    </row>
    <row r="44" spans="1:16" ht="27" customHeight="1">
      <c r="A44" s="86"/>
      <c r="B44" s="65"/>
      <c r="C44" s="325">
        <f>SUM(C33:C43)</f>
        <v>2972.002</v>
      </c>
      <c r="E44" s="97"/>
      <c r="I44" s="153"/>
      <c r="K44" s="86"/>
      <c r="L44" s="400" t="s">
        <v>472</v>
      </c>
      <c r="M44" s="148"/>
      <c r="N44" s="401">
        <v>1999</v>
      </c>
      <c r="O44" s="155"/>
      <c r="P44" s="887" t="s">
        <v>503</v>
      </c>
    </row>
    <row r="45" spans="1:16" ht="15.75">
      <c r="A45" s="86"/>
      <c r="B45" s="65"/>
      <c r="C45" s="326"/>
      <c r="E45" s="355" t="s">
        <v>261</v>
      </c>
      <c r="F45" s="356"/>
      <c r="G45" s="356"/>
      <c r="H45" s="356"/>
      <c r="I45" s="369"/>
      <c r="K45" s="136" t="s">
        <v>535</v>
      </c>
      <c r="L45" s="952">
        <f>L11</f>
        <v>744.673</v>
      </c>
      <c r="M45" s="75" t="s">
        <v>362</v>
      </c>
      <c r="N45" s="951">
        <f>L45/AnnualHours/NetMW*1000</f>
        <v>1.2167859477124183</v>
      </c>
      <c r="O45" s="155" t="s">
        <v>363</v>
      </c>
      <c r="P45" s="402">
        <f>AVERAGE('PPA Assumptions &amp;Summary'!D57:G57)</f>
        <v>1.3501486943510352</v>
      </c>
    </row>
    <row r="46" spans="1:16">
      <c r="A46" s="92" t="s">
        <v>106</v>
      </c>
      <c r="B46" s="75"/>
      <c r="C46" s="326"/>
      <c r="E46" s="74" t="s">
        <v>229</v>
      </c>
      <c r="F46" s="65"/>
      <c r="G46" s="65"/>
      <c r="H46" s="65"/>
      <c r="I46" s="156" t="s">
        <v>5</v>
      </c>
      <c r="K46" s="136"/>
      <c r="L46" s="69"/>
      <c r="M46" s="65"/>
      <c r="N46" s="154"/>
      <c r="O46" s="155"/>
      <c r="P46" s="90"/>
    </row>
    <row r="47" spans="1:16">
      <c r="A47" s="62" t="s">
        <v>228</v>
      </c>
      <c r="B47" s="75"/>
      <c r="C47" s="318">
        <v>0</v>
      </c>
      <c r="E47" s="74" t="s">
        <v>230</v>
      </c>
      <c r="F47" s="65"/>
      <c r="G47" s="65"/>
      <c r="H47" s="65"/>
      <c r="I47" s="157">
        <f>0.5*'Returns Summary'!$D$23</f>
        <v>7516.5511231259989</v>
      </c>
      <c r="K47" s="136" t="s">
        <v>306</v>
      </c>
      <c r="L47" s="212">
        <f>Main_Start*L15/1000</f>
        <v>2296.44</v>
      </c>
      <c r="M47" s="75" t="s">
        <v>362</v>
      </c>
      <c r="N47" s="212">
        <f>L47/L15*1000</f>
        <v>19137</v>
      </c>
      <c r="O47" s="155" t="s">
        <v>531</v>
      </c>
      <c r="P47" s="944">
        <f>AVERAGE('Book Income Statement'!E33:H33)/L15*1000</f>
        <v>21234.462488962272</v>
      </c>
    </row>
    <row r="48" spans="1:16">
      <c r="A48" s="62" t="s">
        <v>62</v>
      </c>
      <c r="B48" s="75"/>
      <c r="C48" s="318">
        <v>0</v>
      </c>
      <c r="E48" s="158" t="s">
        <v>231</v>
      </c>
      <c r="F48" s="105"/>
      <c r="G48" s="159"/>
      <c r="H48" s="105"/>
      <c r="I48" s="160">
        <v>0</v>
      </c>
      <c r="K48" s="136" t="s">
        <v>510</v>
      </c>
      <c r="L48" s="943">
        <f>O16</f>
        <v>0</v>
      </c>
      <c r="M48" s="75" t="s">
        <v>362</v>
      </c>
      <c r="N48" s="943">
        <f>L48/L16*1000</f>
        <v>0</v>
      </c>
      <c r="O48" s="155" t="s">
        <v>531</v>
      </c>
      <c r="P48" s="945">
        <f>AVERAGE('Book Income Statement'!E32:H32)/L16*1000</f>
        <v>0</v>
      </c>
    </row>
    <row r="49" spans="1:16">
      <c r="A49" s="62" t="s">
        <v>349</v>
      </c>
      <c r="B49" s="162"/>
      <c r="C49" s="1055">
        <v>0</v>
      </c>
      <c r="E49" s="57" t="s">
        <v>141</v>
      </c>
      <c r="K49" s="136"/>
      <c r="L49" s="952">
        <f>SUM(L47:L48)</f>
        <v>2296.44</v>
      </c>
      <c r="M49" s="65"/>
      <c r="N49" s="952">
        <f>SUM(N47:N48)</f>
        <v>19137</v>
      </c>
      <c r="O49" s="155"/>
      <c r="P49" s="953">
        <f>SUM(P47:P48)</f>
        <v>21234.462488962272</v>
      </c>
    </row>
    <row r="50" spans="1:16" ht="17.25">
      <c r="A50" s="86" t="s">
        <v>58</v>
      </c>
      <c r="B50" s="129"/>
      <c r="C50" s="163">
        <f>+IF(I46="Financing", I47, 0)</f>
        <v>0</v>
      </c>
      <c r="E50" s="355" t="s">
        <v>45</v>
      </c>
      <c r="F50" s="356"/>
      <c r="G50" s="356"/>
      <c r="H50" s="356"/>
      <c r="I50" s="357"/>
      <c r="K50" s="136"/>
      <c r="L50" s="212"/>
      <c r="M50" s="65"/>
      <c r="N50" s="212"/>
      <c r="O50" s="155"/>
      <c r="P50" s="944"/>
    </row>
    <row r="51" spans="1:16">
      <c r="A51" s="86"/>
      <c r="B51" s="75"/>
      <c r="C51" s="117">
        <f>SUM(C47:C50)</f>
        <v>0</v>
      </c>
      <c r="E51" s="164" t="s">
        <v>214</v>
      </c>
      <c r="F51" s="65"/>
      <c r="G51" s="65" t="s">
        <v>227</v>
      </c>
      <c r="H51" s="165" t="str">
        <f>+IF(I51=0, "", IF(OR(I51&gt;I15, I51&lt;MAX('Project Assumptions'!F39:H39)), "Error", "-"))</f>
        <v/>
      </c>
      <c r="I51" s="111"/>
      <c r="K51" s="136" t="s">
        <v>536</v>
      </c>
      <c r="L51" s="212">
        <f>Labor+Fixed+N24+N22</f>
        <v>1423.4705882352941</v>
      </c>
      <c r="M51" s="75" t="s">
        <v>362</v>
      </c>
      <c r="N51" s="154">
        <f>L51/NetMW/12</f>
        <v>0.23259323337178009</v>
      </c>
      <c r="O51" s="155" t="s">
        <v>364</v>
      </c>
      <c r="P51" s="402">
        <f>AVERAGE('Book Income Statement'!E42:H42)/NetMW/12</f>
        <v>0.287127276047135</v>
      </c>
    </row>
    <row r="52" spans="1:16">
      <c r="A52" s="86"/>
      <c r="B52" s="75"/>
      <c r="C52" s="117"/>
      <c r="E52" s="86"/>
      <c r="F52" s="65"/>
      <c r="G52" s="65" t="s">
        <v>226</v>
      </c>
      <c r="H52" s="65"/>
      <c r="I52" s="166"/>
      <c r="K52" s="136" t="s">
        <v>365</v>
      </c>
      <c r="L52" s="212">
        <f>N38</f>
        <v>662</v>
      </c>
      <c r="M52" s="75" t="s">
        <v>362</v>
      </c>
      <c r="N52" s="154">
        <f>L52/NetMW/12</f>
        <v>0.10816993464052288</v>
      </c>
      <c r="O52" s="155" t="s">
        <v>364</v>
      </c>
      <c r="P52" s="402">
        <f>(AVERAGE('Book Income Statement'!E51:H51)-AVERAGE('Book Income Statement'!E53:H53))/NetMW/12</f>
        <v>7.9893869178374183E-2</v>
      </c>
    </row>
    <row r="53" spans="1:16">
      <c r="A53" s="92" t="s">
        <v>107</v>
      </c>
      <c r="B53" s="129"/>
      <c r="C53" s="167"/>
      <c r="E53" s="95"/>
      <c r="F53" s="105"/>
      <c r="G53" s="105" t="s">
        <v>7</v>
      </c>
      <c r="H53" s="105"/>
      <c r="I53" s="168"/>
      <c r="K53" s="136" t="s">
        <v>553</v>
      </c>
      <c r="L53" s="212">
        <f>'Book Income Statement'!E53/(1.03^2)</f>
        <v>231.50754687529459</v>
      </c>
      <c r="M53" s="75" t="s">
        <v>362</v>
      </c>
      <c r="N53" s="154">
        <f>L53/NetMW/12</f>
        <v>3.7828030535178851E-2</v>
      </c>
      <c r="O53" s="155" t="s">
        <v>364</v>
      </c>
      <c r="P53" s="898">
        <f>AVERAGE('Book Income Statement'!E53:H53)/NetMW/12</f>
        <v>4.0131757594771243E-2</v>
      </c>
    </row>
    <row r="54" spans="1:16" ht="14.25">
      <c r="A54" s="86" t="s">
        <v>380</v>
      </c>
      <c r="B54" s="169">
        <v>6.4000000000000001E-2</v>
      </c>
      <c r="C54" s="1065">
        <f>-6.077+11186.589</f>
        <v>11180.512000000001</v>
      </c>
      <c r="E54" s="65"/>
      <c r="F54" s="65"/>
      <c r="G54" s="65"/>
      <c r="H54" s="65"/>
      <c r="I54" s="170"/>
      <c r="K54" s="136" t="s">
        <v>554</v>
      </c>
      <c r="L54" s="943">
        <f>'Book Income Statement'!E58/(1.03^2)</f>
        <v>0</v>
      </c>
      <c r="M54" s="75" t="s">
        <v>362</v>
      </c>
      <c r="N54" s="161">
        <f>L54/NetMW/12</f>
        <v>0</v>
      </c>
      <c r="O54" s="155" t="s">
        <v>364</v>
      </c>
      <c r="P54" s="897">
        <f>AVERAGE('Book Income Statement'!E58:H58)/NetMW/12</f>
        <v>0</v>
      </c>
    </row>
    <row r="55" spans="1:16" ht="15.75">
      <c r="A55" s="86"/>
      <c r="B55" s="171"/>
      <c r="C55" s="117">
        <f>SUM(C54:C54)</f>
        <v>11180.512000000001</v>
      </c>
      <c r="E55" s="371" t="s">
        <v>461</v>
      </c>
      <c r="F55" s="356"/>
      <c r="G55" s="356"/>
      <c r="H55" s="356"/>
      <c r="I55" s="357"/>
      <c r="K55" s="136"/>
      <c r="L55" s="952">
        <f>SUM(L51:L54)</f>
        <v>2316.9781351105889</v>
      </c>
      <c r="M55" s="75"/>
      <c r="N55" s="951">
        <f>SUM(N51:N54)</f>
        <v>0.37859119854748186</v>
      </c>
      <c r="O55" s="155"/>
      <c r="P55" s="402">
        <f>SUM(P51:P54)</f>
        <v>0.40715290282028044</v>
      </c>
    </row>
    <row r="56" spans="1:16">
      <c r="A56" s="86"/>
      <c r="B56" s="65"/>
      <c r="C56" s="80"/>
      <c r="E56" s="86"/>
      <c r="F56" s="65"/>
      <c r="G56" s="65" t="s">
        <v>67</v>
      </c>
      <c r="H56" s="65"/>
      <c r="I56" s="370">
        <v>0.12</v>
      </c>
      <c r="K56" s="950" t="s">
        <v>530</v>
      </c>
      <c r="L56" s="954">
        <f>L45+L49+L55</f>
        <v>5358.0911351105897</v>
      </c>
      <c r="M56" s="946" t="s">
        <v>362</v>
      </c>
      <c r="N56" s="947"/>
      <c r="O56" s="948"/>
      <c r="P56" s="949"/>
    </row>
    <row r="57" spans="1:16">
      <c r="A57" s="62" t="s">
        <v>427</v>
      </c>
      <c r="B57" s="384"/>
      <c r="C57" s="1064">
        <v>0</v>
      </c>
      <c r="E57" s="86"/>
      <c r="F57" s="65"/>
      <c r="G57" s="174" t="s">
        <v>17</v>
      </c>
      <c r="H57" s="65"/>
      <c r="I57" s="175" t="s">
        <v>18</v>
      </c>
      <c r="K57" s="60"/>
      <c r="L57" s="60"/>
      <c r="M57" s="60"/>
      <c r="N57" s="145" t="s">
        <v>301</v>
      </c>
      <c r="P57" s="109"/>
    </row>
    <row r="58" spans="1:16" ht="15.75">
      <c r="A58" s="62" t="s">
        <v>428</v>
      </c>
      <c r="B58" s="384"/>
      <c r="C58" s="317">
        <f>B58*C21</f>
        <v>0</v>
      </c>
      <c r="E58" s="177" t="s">
        <v>0</v>
      </c>
      <c r="F58" s="178"/>
      <c r="G58" s="130" t="s">
        <v>40</v>
      </c>
      <c r="H58" s="178"/>
      <c r="I58" s="131" t="s">
        <v>40</v>
      </c>
      <c r="K58" s="355" t="s">
        <v>678</v>
      </c>
      <c r="L58" s="373"/>
      <c r="M58" s="373"/>
      <c r="N58" s="356"/>
      <c r="O58" s="356"/>
      <c r="P58" s="372"/>
    </row>
    <row r="59" spans="1:16">
      <c r="A59" s="62" t="s">
        <v>429</v>
      </c>
      <c r="B59" s="176"/>
      <c r="C59" s="117">
        <f>SUM(C57:C58)</f>
        <v>0</v>
      </c>
      <c r="E59" s="179">
        <v>10</v>
      </c>
      <c r="F59" s="75"/>
      <c r="G59" s="180">
        <f>'Returns Summary'!$L$8</f>
        <v>0.1935188472270965</v>
      </c>
      <c r="H59" s="63"/>
      <c r="I59" s="181">
        <f>'Returns Summary'!$L$12</f>
        <v>0.14491298794746399</v>
      </c>
      <c r="K59" s="95" t="s">
        <v>443</v>
      </c>
      <c r="L59" s="105"/>
      <c r="M59" s="105"/>
      <c r="N59" s="331">
        <f>529.65/3*0</f>
        <v>0</v>
      </c>
      <c r="O59" s="105"/>
      <c r="P59" s="234"/>
    </row>
    <row r="60" spans="1:16">
      <c r="A60" s="86"/>
      <c r="B60" s="129"/>
      <c r="C60" s="167"/>
      <c r="E60" s="179">
        <v>15</v>
      </c>
      <c r="F60" s="75"/>
      <c r="G60" s="180">
        <f>'Returns Summary'!$Q$8</f>
        <v>0.24569812417030337</v>
      </c>
      <c r="H60" s="63"/>
      <c r="I60" s="181">
        <f>'Returns Summary'!$Q$12</f>
        <v>0.2020727217197418</v>
      </c>
      <c r="K60" s="107"/>
      <c r="L60" s="60"/>
      <c r="M60" s="172"/>
      <c r="N60" s="173"/>
    </row>
    <row r="61" spans="1:16" ht="15.75">
      <c r="A61" s="358" t="s">
        <v>57</v>
      </c>
      <c r="B61" s="359"/>
      <c r="C61" s="360">
        <f>C31+C44+C51+C55+C59</f>
        <v>174369.61799999999</v>
      </c>
      <c r="E61" s="179">
        <v>20</v>
      </c>
      <c r="F61" s="75"/>
      <c r="G61" s="180">
        <f>'Returns Summary'!$W$8</f>
        <v>0.25719700455665584</v>
      </c>
      <c r="H61" s="63"/>
      <c r="I61" s="181">
        <f>'Returns Summary'!$W$12</f>
        <v>0.21267464756965634</v>
      </c>
      <c r="K61" s="355" t="s">
        <v>264</v>
      </c>
      <c r="L61" s="356"/>
      <c r="M61" s="356"/>
      <c r="N61" s="356"/>
      <c r="O61" s="356"/>
      <c r="P61" s="357"/>
    </row>
    <row r="62" spans="1:16">
      <c r="A62" s="60"/>
      <c r="B62" s="60"/>
      <c r="C62" s="60"/>
      <c r="E62" s="179"/>
      <c r="F62" s="75"/>
      <c r="G62" s="180"/>
      <c r="H62" s="63"/>
      <c r="I62" s="181"/>
      <c r="K62" s="62" t="s">
        <v>194</v>
      </c>
      <c r="L62" s="65"/>
      <c r="M62" s="65"/>
      <c r="N62" s="235">
        <v>0.35</v>
      </c>
      <c r="O62" s="65"/>
      <c r="P62" s="887" t="s">
        <v>503</v>
      </c>
    </row>
    <row r="63" spans="1:16" ht="15.75">
      <c r="A63" s="355" t="s">
        <v>56</v>
      </c>
      <c r="B63" s="356"/>
      <c r="C63" s="357"/>
      <c r="E63" s="86"/>
      <c r="F63" s="65"/>
      <c r="G63" s="174" t="s">
        <v>17</v>
      </c>
      <c r="H63" s="65"/>
      <c r="I63" s="175" t="s">
        <v>18</v>
      </c>
      <c r="K63" s="62" t="s">
        <v>193</v>
      </c>
      <c r="L63" s="65"/>
      <c r="M63" s="65"/>
      <c r="N63" s="182">
        <v>8.2500000000000004E-2</v>
      </c>
      <c r="O63" s="65"/>
      <c r="P63" s="80"/>
    </row>
    <row r="64" spans="1:16">
      <c r="A64" s="62" t="s">
        <v>197</v>
      </c>
      <c r="B64" s="65"/>
      <c r="C64" s="126" t="s">
        <v>501</v>
      </c>
      <c r="E64" s="177" t="s">
        <v>0</v>
      </c>
      <c r="F64" s="178"/>
      <c r="G64" s="130" t="s">
        <v>66</v>
      </c>
      <c r="H64" s="178"/>
      <c r="I64" s="131" t="s">
        <v>66</v>
      </c>
      <c r="K64" s="86" t="s">
        <v>195</v>
      </c>
      <c r="L64" s="65"/>
      <c r="M64" s="65"/>
      <c r="N64" s="183">
        <f>(1-N63)*N62+N63</f>
        <v>0.40362500000000001</v>
      </c>
      <c r="O64" s="65"/>
      <c r="P64" s="241">
        <f>AVERAGE('Book Income Statement'!E74:H74)</f>
        <v>4446.3985361120049</v>
      </c>
    </row>
    <row r="65" spans="1:16">
      <c r="A65" s="62" t="s">
        <v>239</v>
      </c>
      <c r="B65" s="65"/>
      <c r="C65" s="184">
        <v>2.5</v>
      </c>
      <c r="E65" s="179">
        <v>10</v>
      </c>
      <c r="F65" s="75"/>
      <c r="G65" s="185">
        <f>'Returns Summary'!$L$9</f>
        <v>19015.837775310123</v>
      </c>
      <c r="H65" s="185"/>
      <c r="I65" s="186">
        <f>'Returns Summary'!$L$13</f>
        <v>5457.0587903724318</v>
      </c>
      <c r="K65" s="62"/>
      <c r="L65" s="65"/>
      <c r="M65" s="65"/>
      <c r="N65" s="65"/>
      <c r="O65" s="65"/>
      <c r="P65" s="241"/>
    </row>
    <row r="66" spans="1:16">
      <c r="A66" s="62" t="s">
        <v>454</v>
      </c>
      <c r="B66" s="65"/>
      <c r="C66" s="126" t="s">
        <v>185</v>
      </c>
      <c r="E66" s="179">
        <v>15</v>
      </c>
      <c r="F66" s="75"/>
      <c r="G66" s="185">
        <f>'Returns Summary'!$Q$9</f>
        <v>52561.885162780753</v>
      </c>
      <c r="H66" s="185"/>
      <c r="I66" s="186">
        <f>'Returns Summary'!$Q$13</f>
        <v>28797.552999029402</v>
      </c>
      <c r="K66" s="62" t="s">
        <v>315</v>
      </c>
      <c r="L66" s="65"/>
      <c r="M66" s="65"/>
      <c r="N66" s="335">
        <v>0</v>
      </c>
      <c r="O66" s="65"/>
      <c r="P66" s="241"/>
    </row>
    <row r="67" spans="1:16">
      <c r="A67" s="62" t="s">
        <v>455</v>
      </c>
      <c r="B67" s="65"/>
      <c r="C67" s="126" t="s">
        <v>185</v>
      </c>
      <c r="E67" s="187">
        <v>20</v>
      </c>
      <c r="F67" s="188"/>
      <c r="G67" s="189">
        <f>'Returns Summary'!$W$9</f>
        <v>71958.046729100126</v>
      </c>
      <c r="H67" s="189"/>
      <c r="I67" s="190">
        <f>'Returns Summary'!$W$13</f>
        <v>38525.113012615373</v>
      </c>
      <c r="K67" s="62" t="s">
        <v>331</v>
      </c>
      <c r="L67" s="65"/>
      <c r="M67" s="65"/>
      <c r="N67" s="335">
        <v>0</v>
      </c>
      <c r="O67" s="65"/>
      <c r="P67" s="241">
        <f>AVERAGE('Tax Calculations'!E10:H10)</f>
        <v>0</v>
      </c>
    </row>
    <row r="68" spans="1:16">
      <c r="A68" s="62" t="s">
        <v>222</v>
      </c>
      <c r="B68" s="65"/>
      <c r="C68" s="126">
        <v>15</v>
      </c>
      <c r="E68" s="191"/>
      <c r="F68" s="61"/>
      <c r="G68" s="192"/>
      <c r="H68" s="192"/>
      <c r="I68" s="192"/>
      <c r="K68" s="62" t="s">
        <v>258</v>
      </c>
      <c r="L68" s="65"/>
      <c r="M68" s="65"/>
      <c r="N68" s="335">
        <v>0.06</v>
      </c>
      <c r="O68" s="65"/>
      <c r="P68" s="236"/>
    </row>
    <row r="69" spans="1:16">
      <c r="A69" s="62" t="s">
        <v>196</v>
      </c>
      <c r="B69" s="65"/>
      <c r="C69" s="126" t="s">
        <v>171</v>
      </c>
      <c r="K69" s="237" t="s">
        <v>378</v>
      </c>
      <c r="L69" s="105"/>
      <c r="M69" s="238">
        <v>0</v>
      </c>
      <c r="N69" s="239">
        <v>0</v>
      </c>
      <c r="O69" s="105"/>
      <c r="P69" s="240"/>
    </row>
    <row r="70" spans="1:16">
      <c r="A70" s="86" t="s">
        <v>234</v>
      </c>
      <c r="B70" s="65"/>
      <c r="C70" s="126" t="s">
        <v>23</v>
      </c>
      <c r="P70" s="58"/>
    </row>
    <row r="71" spans="1:16">
      <c r="A71" s="62" t="s">
        <v>186</v>
      </c>
      <c r="B71" s="65"/>
      <c r="C71" s="126" t="s">
        <v>23</v>
      </c>
    </row>
    <row r="72" spans="1:16">
      <c r="A72" s="86" t="s">
        <v>235</v>
      </c>
      <c r="B72" s="65"/>
      <c r="C72" s="193">
        <v>0</v>
      </c>
    </row>
    <row r="73" spans="1:16">
      <c r="A73" s="164" t="s">
        <v>337</v>
      </c>
      <c r="B73" s="65"/>
      <c r="C73" s="80"/>
    </row>
    <row r="74" spans="1:16">
      <c r="A74" s="86" t="s">
        <v>276</v>
      </c>
      <c r="B74" s="65"/>
      <c r="C74" s="194">
        <v>1</v>
      </c>
    </row>
    <row r="75" spans="1:16">
      <c r="A75" s="86" t="s">
        <v>277</v>
      </c>
      <c r="B75" s="65"/>
      <c r="C75" s="196">
        <v>0.5</v>
      </c>
    </row>
    <row r="76" spans="1:16">
      <c r="A76" s="164" t="s">
        <v>338</v>
      </c>
      <c r="B76" s="65"/>
      <c r="C76" s="197" t="s">
        <v>336</v>
      </c>
    </row>
    <row r="77" spans="1:16">
      <c r="A77" s="95" t="s">
        <v>187</v>
      </c>
      <c r="B77" s="105"/>
      <c r="C77" s="198" t="s">
        <v>23</v>
      </c>
    </row>
    <row r="78" spans="1:16">
      <c r="A78" s="200"/>
    </row>
    <row r="79" spans="1:16">
      <c r="A79" s="200"/>
      <c r="J79" s="210"/>
      <c r="O79" s="199"/>
    </row>
    <row r="80" spans="1:16">
      <c r="A80" s="200"/>
      <c r="J80" s="213"/>
    </row>
    <row r="81" spans="1:10">
      <c r="A81" s="200"/>
      <c r="J81" s="215"/>
    </row>
    <row r="82" spans="1:10">
      <c r="J82" s="220"/>
    </row>
    <row r="83" spans="1:10" ht="12.75" thickBot="1">
      <c r="J83" s="222"/>
    </row>
    <row r="84" spans="1:10" ht="16.5" thickBot="1">
      <c r="E84" s="201" t="s">
        <v>291</v>
      </c>
      <c r="F84" s="202"/>
      <c r="G84" s="202"/>
      <c r="H84" s="203"/>
      <c r="I84" s="204"/>
    </row>
    <row r="85" spans="1:10">
      <c r="D85" s="57" t="s">
        <v>295</v>
      </c>
      <c r="E85" s="207"/>
      <c r="F85" s="65"/>
      <c r="G85" s="65"/>
      <c r="H85" s="208"/>
      <c r="I85" s="209"/>
    </row>
    <row r="86" spans="1:10">
      <c r="D86" s="57" t="s">
        <v>296</v>
      </c>
      <c r="E86" s="207" t="s">
        <v>292</v>
      </c>
      <c r="F86" s="212">
        <f>C61</f>
        <v>174369.61799999999</v>
      </c>
      <c r="G86" s="65"/>
      <c r="H86" s="208"/>
    </row>
    <row r="87" spans="1:10" ht="12.75" thickBot="1">
      <c r="A87" s="205"/>
      <c r="B87" s="206" t="s">
        <v>319</v>
      </c>
      <c r="C87" s="205"/>
      <c r="E87" s="207" t="s">
        <v>293</v>
      </c>
      <c r="F87" s="214">
        <f>F86-C43</f>
        <v>174369.61799999999</v>
      </c>
      <c r="G87" s="65"/>
      <c r="H87" s="208"/>
    </row>
    <row r="88" spans="1:10" ht="23.25" thickBot="1">
      <c r="A88" s="205"/>
      <c r="B88" s="211" t="s">
        <v>317</v>
      </c>
      <c r="C88" s="205"/>
      <c r="D88" s="231" t="s">
        <v>301</v>
      </c>
      <c r="E88" s="216" t="s">
        <v>294</v>
      </c>
      <c r="F88" s="217">
        <f>C43</f>
        <v>0</v>
      </c>
      <c r="G88" s="218"/>
      <c r="H88" s="219"/>
    </row>
    <row r="89" spans="1:10" ht="12.75" thickBot="1">
      <c r="A89" s="205"/>
      <c r="B89" s="211" t="s">
        <v>318</v>
      </c>
      <c r="C89" s="205"/>
      <c r="D89" s="231" t="s">
        <v>304</v>
      </c>
      <c r="E89" s="97"/>
      <c r="F89" s="221"/>
      <c r="G89" s="221"/>
    </row>
    <row r="90" spans="1:10" ht="16.5" thickBot="1">
      <c r="E90" s="223" t="s">
        <v>302</v>
      </c>
      <c r="F90" s="224"/>
      <c r="G90" s="225" t="s">
        <v>303</v>
      </c>
      <c r="H90" s="226"/>
    </row>
    <row r="91" spans="1:10" ht="16.5" thickBot="1">
      <c r="E91" s="223">
        <v>12</v>
      </c>
      <c r="F91" s="224">
        <v>16</v>
      </c>
      <c r="G91" s="227">
        <v>8</v>
      </c>
      <c r="H91" s="228">
        <v>10</v>
      </c>
    </row>
    <row r="92" spans="1:10" ht="13.5" thickBot="1">
      <c r="E92" s="229">
        <f>E91*'Book Income Statement'!$C$78-$C$8-'PPA Assumptions &amp;Summary'!$B$13</f>
        <v>-6851.3498517540074</v>
      </c>
      <c r="F92" s="229">
        <f>F91*'Book Income Statement'!$C$78-$C$8-'PPA Assumptions &amp;Summary'!$B$13</f>
        <v>5396.8699563954351</v>
      </c>
      <c r="G92" s="230">
        <f>G91*'Book Income Statement'!$C$77-C8-'PPA Assumptions &amp;Summary'!$B$13</f>
        <v>29175.064643104713</v>
      </c>
      <c r="H92" s="230">
        <f>H91*'Book Income Statement'!$C$77-C8-'PPA Assumptions &amp;Summary'!$B$13</f>
        <v>47367.833122931486</v>
      </c>
      <c r="I92" s="191"/>
    </row>
    <row r="93" spans="1:10">
      <c r="I93" s="98"/>
    </row>
    <row r="94" spans="1:10">
      <c r="E94" s="57" t="s">
        <v>299</v>
      </c>
      <c r="G94" s="191"/>
    </row>
    <row r="95" spans="1:10">
      <c r="E95" s="232" t="s">
        <v>300</v>
      </c>
      <c r="F95" s="233"/>
      <c r="G95" s="98"/>
      <c r="H95" s="233"/>
    </row>
    <row r="106" spans="11:14">
      <c r="K106" s="57" t="s">
        <v>309</v>
      </c>
    </row>
    <row r="107" spans="11:14">
      <c r="K107" s="57" t="s">
        <v>310</v>
      </c>
    </row>
    <row r="108" spans="11:14">
      <c r="K108" s="57" t="s">
        <v>311</v>
      </c>
    </row>
    <row r="109" spans="11:14">
      <c r="K109" s="57" t="s">
        <v>312</v>
      </c>
      <c r="N109" s="195"/>
    </row>
    <row r="110" spans="11:14">
      <c r="K110" s="57" t="s">
        <v>313</v>
      </c>
      <c r="N110" s="195"/>
    </row>
    <row r="111" spans="11:14">
      <c r="L111" s="195"/>
      <c r="M111" s="195"/>
      <c r="N111" s="195"/>
    </row>
    <row r="65533" spans="4:4">
      <c r="D65533" s="231" t="s">
        <v>301</v>
      </c>
    </row>
  </sheetData>
  <customSheetViews>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1"/>
      <headerFooter alignWithMargins="0">
        <oddFooter>&amp;L&amp;D   &amp;T&amp;RO:\Naes\GenSvcs\TVA\TVA Model\&amp;F
&amp;A &amp;P</oddFooter>
      </headerFooter>
    </customSheetView>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2"/>
      <headerFooter alignWithMargins="0">
        <oddFooter>&amp;L&amp;D   &amp;T&amp;RO:\Naes\GenSvcs\Tva\Tva Models\&amp;F   
&amp;A   &amp;P</oddFooter>
      </headerFooter>
    </customSheetView>
  </customSheetViews>
  <mergeCells count="3">
    <mergeCell ref="A2:U2"/>
    <mergeCell ref="A3:U3"/>
    <mergeCell ref="A4:U4"/>
  </mergeCells>
  <dataValidations count="9">
    <dataValidation type="list" allowBlank="1" showInputMessage="1" showErrorMessage="1" sqref="I46">
      <formula1>"Financing, Operations"</formula1>
    </dataValidation>
    <dataValidation type="list" allowBlank="1" showInputMessage="1" showErrorMessage="1" sqref="C70:C71 C77 C66:C67">
      <formula1>"Yes,No"</formula1>
    </dataValidation>
    <dataValidation type="list" allowBlank="1" showInputMessage="1" showErrorMessage="1" sqref="C64">
      <formula1>"Fixed,Index"</formula1>
    </dataValidation>
    <dataValidation type="list" allowBlank="1" showInputMessage="1" showErrorMessage="1" sqref="C69">
      <formula1>"Assumed,Dispatched"</formula1>
    </dataValidation>
    <dataValidation type="list" allowBlank="1" showInputMessage="1" showErrorMessage="1" sqref="G42:H42">
      <formula1>"Interest Only,No P&amp;I"</formula1>
    </dataValidation>
    <dataValidation type="list" allowBlank="1" showInputMessage="1" showErrorMessage="1" sqref="B29">
      <formula1>"0,.0075,.015,.035,.06"</formula1>
    </dataValidation>
    <dataValidation type="list" allowBlank="1" showInputMessage="1" showErrorMessage="1" sqref="C65">
      <formula1>"0,2.5,N/A"</formula1>
    </dataValidation>
    <dataValidation type="list" allowBlank="1" showInputMessage="1" showErrorMessage="1" sqref="I34">
      <formula1>"Normal,Alternate"</formula1>
    </dataValidation>
    <dataValidation type="list" allowBlank="1" showInputMessage="1" showErrorMessage="1" sqref="C76">
      <formula1>"Kaiser Peak, ECT Peak Curve, Marginal Cost Curve"</formula1>
    </dataValidation>
  </dataValidations>
  <pageMargins left="0.25" right="0.25" top="0.25" bottom="0.5" header="0" footer="0"/>
  <pageSetup scale="51" pageOrder="overThenDown" orientation="landscape" horizontalDpi="4294967294" r:id="rId3"/>
  <headerFooter alignWithMargins="0">
    <oddFooter>&amp;L&amp;D   &amp;T&amp;R&amp;F
&amp;A &amp;P</oddFooter>
  </headerFooter>
  <colBreaks count="1" manualBreakCount="1">
    <brk id="14" min="1" max="76" man="1"/>
  </colBreaks>
  <drawing r:id="rId4"/>
  <legacyDrawing r:id="rId5"/>
  <mc:AlternateContent xmlns:mc="http://schemas.openxmlformats.org/markup-compatibility/2006">
    <mc:Choice Requires="x14">
      <controls>
        <mc:AlternateContent xmlns:mc="http://schemas.openxmlformats.org/markup-compatibility/2006">
          <mc:Choice Requires="x14">
            <control shapeId="10745" r:id="rId6" name="Button 505">
              <controlPr defaultSize="0" print="0" autoFill="0" autoPict="0" macro="[0]!Print1">
                <anchor moveWithCells="1" sizeWithCells="1">
                  <from>
                    <xdr:col>0</xdr:col>
                    <xdr:colOff>171450</xdr:colOff>
                    <xdr:row>0</xdr:row>
                    <xdr:rowOff>85725</xdr:rowOff>
                  </from>
                  <to>
                    <xdr:col>0</xdr:col>
                    <xdr:colOff>1533525</xdr:colOff>
                    <xdr:row>3</xdr:row>
                    <xdr:rowOff>9525</xdr:rowOff>
                  </to>
                </anchor>
              </controlPr>
            </control>
          </mc:Choice>
        </mc:AlternateContent>
        <mc:AlternateContent xmlns:mc="http://schemas.openxmlformats.org/markup-compatibility/2006">
          <mc:Choice Requires="x14">
            <control shapeId="10767" r:id="rId7" name="Button 527">
              <controlPr defaultSize="0" print="0" autoFill="0" autoPict="0" macro="[0]!Module6.Tax">
                <anchor moveWithCells="1" sizeWithCells="1">
                  <from>
                    <xdr:col>0</xdr:col>
                    <xdr:colOff>1666875</xdr:colOff>
                    <xdr:row>1</xdr:row>
                    <xdr:rowOff>209550</xdr:rowOff>
                  </from>
                  <to>
                    <xdr:col>0</xdr:col>
                    <xdr:colOff>2286000</xdr:colOff>
                    <xdr:row>3</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G84"/>
  <sheetViews>
    <sheetView zoomScale="75" zoomScaleNormal="75" zoomScaleSheetLayoutView="85" workbookViewId="0"/>
  </sheetViews>
  <sheetFormatPr defaultRowHeight="12.75" outlineLevelRow="1"/>
  <cols>
    <col min="1" max="1" width="37.28515625" style="247" customWidth="1"/>
    <col min="2" max="2" width="8.85546875" style="247" customWidth="1"/>
    <col min="3" max="23" width="9.140625" style="247"/>
    <col min="24" max="26" width="9.140625" style="247" hidden="1" customWidth="1"/>
    <col min="27" max="33" width="9.140625" style="247"/>
  </cols>
  <sheetData>
    <row r="1" spans="1:33" ht="20.25">
      <c r="A1" s="501" t="str">
        <f>'Project Assumptions'!$A$2</f>
        <v>GLEASON, TN</v>
      </c>
      <c r="B1" s="502"/>
      <c r="E1" s="647"/>
    </row>
    <row r="2" spans="1:33">
      <c r="A2" s="503" t="s">
        <v>147</v>
      </c>
      <c r="B2" s="504"/>
      <c r="E2" s="647"/>
    </row>
    <row r="3" spans="1:33">
      <c r="B3" s="205"/>
      <c r="C3" s="251">
        <v>1</v>
      </c>
      <c r="D3" s="251">
        <f>C3+1</f>
        <v>2</v>
      </c>
      <c r="E3" s="251">
        <f t="shared" ref="E3:AA3" si="0">D3+1</f>
        <v>3</v>
      </c>
      <c r="F3" s="251">
        <f t="shared" si="0"/>
        <v>4</v>
      </c>
      <c r="G3" s="251">
        <f t="shared" si="0"/>
        <v>5</v>
      </c>
      <c r="H3" s="251">
        <f t="shared" si="0"/>
        <v>6</v>
      </c>
      <c r="I3" s="251">
        <f t="shared" si="0"/>
        <v>7</v>
      </c>
      <c r="J3" s="251">
        <f t="shared" si="0"/>
        <v>8</v>
      </c>
      <c r="K3" s="251">
        <f t="shared" si="0"/>
        <v>9</v>
      </c>
      <c r="L3" s="251">
        <f t="shared" si="0"/>
        <v>10</v>
      </c>
      <c r="M3" s="251">
        <f t="shared" si="0"/>
        <v>11</v>
      </c>
      <c r="N3" s="251">
        <f t="shared" si="0"/>
        <v>12</v>
      </c>
      <c r="O3" s="251">
        <f t="shared" si="0"/>
        <v>13</v>
      </c>
      <c r="P3" s="251">
        <f t="shared" si="0"/>
        <v>14</v>
      </c>
      <c r="Q3" s="251">
        <f t="shared" si="0"/>
        <v>15</v>
      </c>
      <c r="R3" s="251">
        <f t="shared" si="0"/>
        <v>16</v>
      </c>
      <c r="S3" s="251">
        <f t="shared" si="0"/>
        <v>17</v>
      </c>
      <c r="T3" s="251">
        <f t="shared" si="0"/>
        <v>18</v>
      </c>
      <c r="U3" s="251">
        <f t="shared" si="0"/>
        <v>19</v>
      </c>
      <c r="V3" s="251">
        <f t="shared" si="0"/>
        <v>20</v>
      </c>
      <c r="W3" s="251">
        <f t="shared" si="0"/>
        <v>21</v>
      </c>
      <c r="X3" s="251">
        <f t="shared" si="0"/>
        <v>22</v>
      </c>
      <c r="Y3" s="251">
        <f t="shared" si="0"/>
        <v>23</v>
      </c>
      <c r="Z3" s="251">
        <f t="shared" si="0"/>
        <v>24</v>
      </c>
      <c r="AA3" s="251">
        <f t="shared" si="0"/>
        <v>25</v>
      </c>
    </row>
    <row r="4" spans="1:33">
      <c r="A4" s="555"/>
      <c r="B4" s="534"/>
      <c r="C4" s="505">
        <f>YEAR(StartDate)</f>
        <v>2000</v>
      </c>
      <c r="D4" s="505">
        <f>C4+1</f>
        <v>2001</v>
      </c>
      <c r="E4" s="505">
        <f t="shared" ref="E4:AA4" si="1">D4+1</f>
        <v>2002</v>
      </c>
      <c r="F4" s="505">
        <f t="shared" si="1"/>
        <v>2003</v>
      </c>
      <c r="G4" s="505">
        <f t="shared" si="1"/>
        <v>2004</v>
      </c>
      <c r="H4" s="505">
        <f t="shared" si="1"/>
        <v>2005</v>
      </c>
      <c r="I4" s="505">
        <f t="shared" si="1"/>
        <v>2006</v>
      </c>
      <c r="J4" s="505">
        <f t="shared" si="1"/>
        <v>2007</v>
      </c>
      <c r="K4" s="505">
        <f t="shared" si="1"/>
        <v>2008</v>
      </c>
      <c r="L4" s="505">
        <f t="shared" si="1"/>
        <v>2009</v>
      </c>
      <c r="M4" s="505">
        <f t="shared" si="1"/>
        <v>2010</v>
      </c>
      <c r="N4" s="505">
        <f t="shared" si="1"/>
        <v>2011</v>
      </c>
      <c r="O4" s="505">
        <f t="shared" si="1"/>
        <v>2012</v>
      </c>
      <c r="P4" s="505">
        <f t="shared" si="1"/>
        <v>2013</v>
      </c>
      <c r="Q4" s="505">
        <f t="shared" si="1"/>
        <v>2014</v>
      </c>
      <c r="R4" s="505">
        <f t="shared" si="1"/>
        <v>2015</v>
      </c>
      <c r="S4" s="505">
        <f t="shared" si="1"/>
        <v>2016</v>
      </c>
      <c r="T4" s="505">
        <f t="shared" si="1"/>
        <v>2017</v>
      </c>
      <c r="U4" s="505">
        <f t="shared" si="1"/>
        <v>2018</v>
      </c>
      <c r="V4" s="505">
        <f t="shared" si="1"/>
        <v>2019</v>
      </c>
      <c r="W4" s="505">
        <f t="shared" si="1"/>
        <v>2020</v>
      </c>
      <c r="X4" s="505">
        <f t="shared" si="1"/>
        <v>2021</v>
      </c>
      <c r="Y4" s="505">
        <f t="shared" si="1"/>
        <v>2022</v>
      </c>
      <c r="Z4" s="505">
        <f t="shared" si="1"/>
        <v>2023</v>
      </c>
      <c r="AA4" s="506">
        <f t="shared" si="1"/>
        <v>2024</v>
      </c>
    </row>
    <row r="5" spans="1:33" s="45" customFormat="1">
      <c r="A5" s="648" t="s">
        <v>240</v>
      </c>
      <c r="B5" s="253"/>
      <c r="C5" s="649">
        <f>ROUND((DATE($D$4,1,1)-StartDate)/30.4375,1)</f>
        <v>7</v>
      </c>
      <c r="D5" s="439">
        <f t="shared" ref="D5:V5" si="2">IF($C$5&lt;12,IF(D$3&gt;ProjectLife+1,0,IF(D$3=ProjectLife+1,12-$C$5,12)),IF(D$3&gt;ProjectLife+1,0,12))</f>
        <v>12</v>
      </c>
      <c r="E5" s="439">
        <f t="shared" si="2"/>
        <v>12</v>
      </c>
      <c r="F5" s="439">
        <f t="shared" si="2"/>
        <v>12</v>
      </c>
      <c r="G5" s="439">
        <f t="shared" si="2"/>
        <v>12</v>
      </c>
      <c r="H5" s="439">
        <f t="shared" si="2"/>
        <v>12</v>
      </c>
      <c r="I5" s="439">
        <f t="shared" si="2"/>
        <v>12</v>
      </c>
      <c r="J5" s="439">
        <f t="shared" si="2"/>
        <v>12</v>
      </c>
      <c r="K5" s="439">
        <f t="shared" si="2"/>
        <v>12</v>
      </c>
      <c r="L5" s="439">
        <f t="shared" si="2"/>
        <v>12</v>
      </c>
      <c r="M5" s="439">
        <f t="shared" si="2"/>
        <v>12</v>
      </c>
      <c r="N5" s="439">
        <f t="shared" si="2"/>
        <v>12</v>
      </c>
      <c r="O5" s="439">
        <f t="shared" si="2"/>
        <v>12</v>
      </c>
      <c r="P5" s="439">
        <f t="shared" si="2"/>
        <v>12</v>
      </c>
      <c r="Q5" s="439">
        <f t="shared" si="2"/>
        <v>12</v>
      </c>
      <c r="R5" s="439">
        <f t="shared" si="2"/>
        <v>12</v>
      </c>
      <c r="S5" s="439">
        <f t="shared" si="2"/>
        <v>12</v>
      </c>
      <c r="T5" s="439">
        <f t="shared" si="2"/>
        <v>12</v>
      </c>
      <c r="U5" s="439">
        <f t="shared" si="2"/>
        <v>12</v>
      </c>
      <c r="V5" s="439">
        <f t="shared" si="2"/>
        <v>12</v>
      </c>
      <c r="W5" s="650">
        <v>5</v>
      </c>
      <c r="X5" s="439">
        <f>IF($C$5&lt;12,IF(X$3&gt;ProjectLife+1,0,IF(X$3=ProjectLife+1,12-$C$5,12)),IF(X$3&gt;ProjectLife+1,0,12))</f>
        <v>0</v>
      </c>
      <c r="Y5" s="439">
        <f>IF($C$5&lt;12,IF(Y$3&gt;ProjectLife+1,0,IF(Y$3=ProjectLife+1,12-$C$5,12)),IF(Y$3&gt;ProjectLife+1,0,12))</f>
        <v>0</v>
      </c>
      <c r="Z5" s="439">
        <f>IF($C$5&lt;12,IF(Z$3&gt;ProjectLife+1,0,IF(Z$3=ProjectLife+1,12-$C$5,12)),IF(Z$3&gt;ProjectLife+1,0,12))</f>
        <v>0</v>
      </c>
      <c r="AA5" s="440">
        <f>IF($C$5&lt;12,IF(AA$3&gt;ProjectLife+1,0,IF(AA$3=ProjectLife+1,12-$C$5,12)),IF(AA$3&gt;ProjectLife+1,0,12))</f>
        <v>0</v>
      </c>
      <c r="AB5" s="253"/>
      <c r="AC5" s="253"/>
      <c r="AD5" s="253"/>
      <c r="AE5" s="253"/>
      <c r="AF5" s="253"/>
      <c r="AG5" s="253"/>
    </row>
    <row r="6" spans="1:33" s="42" customFormat="1" ht="12.6" customHeight="1">
      <c r="A6" s="651" t="s">
        <v>142</v>
      </c>
      <c r="B6" s="253"/>
      <c r="C6" s="439">
        <f>IF($C$5&lt;12,IF(C$3&gt;PPATerm+1,0,IF(C$3=PPATerm+1,12-$C$5,C$5)),IF(C$3&lt;PPATerm+1,C$5,0))</f>
        <v>7</v>
      </c>
      <c r="D6" s="439">
        <f t="shared" ref="D6:AA6" si="3">IF($C$5&lt;12,IF(D$3&gt;PPATerm+1,0,IF(D$3=PPATerm+1,12-$C$5,D$5)),IF(D$3&lt;PPATerm+1,D$5,0))</f>
        <v>12</v>
      </c>
      <c r="E6" s="439">
        <f t="shared" si="3"/>
        <v>12</v>
      </c>
      <c r="F6" s="439">
        <f t="shared" si="3"/>
        <v>5</v>
      </c>
      <c r="G6" s="439">
        <f t="shared" si="3"/>
        <v>0</v>
      </c>
      <c r="H6" s="439">
        <f t="shared" si="3"/>
        <v>0</v>
      </c>
      <c r="I6" s="439">
        <f t="shared" si="3"/>
        <v>0</v>
      </c>
      <c r="J6" s="439">
        <f t="shared" si="3"/>
        <v>0</v>
      </c>
      <c r="K6" s="439">
        <f t="shared" si="3"/>
        <v>0</v>
      </c>
      <c r="L6" s="439">
        <f t="shared" si="3"/>
        <v>0</v>
      </c>
      <c r="M6" s="439">
        <f t="shared" si="3"/>
        <v>0</v>
      </c>
      <c r="N6" s="439">
        <f t="shared" si="3"/>
        <v>0</v>
      </c>
      <c r="O6" s="439">
        <f t="shared" si="3"/>
        <v>0</v>
      </c>
      <c r="P6" s="439">
        <f t="shared" si="3"/>
        <v>0</v>
      </c>
      <c r="Q6" s="439">
        <f t="shared" si="3"/>
        <v>0</v>
      </c>
      <c r="R6" s="439">
        <f t="shared" si="3"/>
        <v>0</v>
      </c>
      <c r="S6" s="439">
        <f t="shared" si="3"/>
        <v>0</v>
      </c>
      <c r="T6" s="439">
        <f t="shared" si="3"/>
        <v>0</v>
      </c>
      <c r="U6" s="439">
        <f t="shared" si="3"/>
        <v>0</v>
      </c>
      <c r="V6" s="439">
        <f t="shared" si="3"/>
        <v>0</v>
      </c>
      <c r="W6" s="439">
        <f t="shared" si="3"/>
        <v>0</v>
      </c>
      <c r="X6" s="439">
        <f t="shared" si="3"/>
        <v>0</v>
      </c>
      <c r="Y6" s="439">
        <f t="shared" si="3"/>
        <v>0</v>
      </c>
      <c r="Z6" s="439">
        <f t="shared" si="3"/>
        <v>0</v>
      </c>
      <c r="AA6" s="440">
        <f t="shared" si="3"/>
        <v>0</v>
      </c>
      <c r="AB6" s="205"/>
      <c r="AC6" s="205"/>
      <c r="AD6" s="205"/>
      <c r="AE6" s="205"/>
      <c r="AF6" s="205"/>
      <c r="AG6" s="205"/>
    </row>
    <row r="7" spans="1:33" s="42" customFormat="1" ht="12.6" customHeight="1">
      <c r="A7" s="651" t="s">
        <v>352</v>
      </c>
      <c r="B7" s="253"/>
      <c r="C7" s="439">
        <f t="shared" ref="C7:AA7" si="4">C5-C6</f>
        <v>0</v>
      </c>
      <c r="D7" s="439">
        <f t="shared" si="4"/>
        <v>0</v>
      </c>
      <c r="E7" s="439">
        <f t="shared" si="4"/>
        <v>0</v>
      </c>
      <c r="F7" s="439">
        <f t="shared" si="4"/>
        <v>7</v>
      </c>
      <c r="G7" s="439">
        <f t="shared" si="4"/>
        <v>12</v>
      </c>
      <c r="H7" s="439">
        <f t="shared" si="4"/>
        <v>12</v>
      </c>
      <c r="I7" s="439">
        <f t="shared" si="4"/>
        <v>12</v>
      </c>
      <c r="J7" s="439">
        <f t="shared" si="4"/>
        <v>12</v>
      </c>
      <c r="K7" s="439">
        <f t="shared" si="4"/>
        <v>12</v>
      </c>
      <c r="L7" s="439">
        <f t="shared" si="4"/>
        <v>12</v>
      </c>
      <c r="M7" s="439">
        <f t="shared" si="4"/>
        <v>12</v>
      </c>
      <c r="N7" s="439">
        <f t="shared" si="4"/>
        <v>12</v>
      </c>
      <c r="O7" s="439">
        <f t="shared" si="4"/>
        <v>12</v>
      </c>
      <c r="P7" s="439">
        <f t="shared" si="4"/>
        <v>12</v>
      </c>
      <c r="Q7" s="439">
        <f t="shared" si="4"/>
        <v>12</v>
      </c>
      <c r="R7" s="439">
        <f t="shared" si="4"/>
        <v>12</v>
      </c>
      <c r="S7" s="439">
        <f t="shared" si="4"/>
        <v>12</v>
      </c>
      <c r="T7" s="439">
        <f t="shared" si="4"/>
        <v>12</v>
      </c>
      <c r="U7" s="439">
        <f t="shared" si="4"/>
        <v>12</v>
      </c>
      <c r="V7" s="439">
        <f t="shared" si="4"/>
        <v>12</v>
      </c>
      <c r="W7" s="439">
        <v>5</v>
      </c>
      <c r="X7" s="439">
        <f t="shared" si="4"/>
        <v>0</v>
      </c>
      <c r="Y7" s="439">
        <f t="shared" si="4"/>
        <v>0</v>
      </c>
      <c r="Z7" s="439">
        <f t="shared" si="4"/>
        <v>0</v>
      </c>
      <c r="AA7" s="440">
        <f t="shared" si="4"/>
        <v>0</v>
      </c>
      <c r="AB7" s="205"/>
      <c r="AC7" s="205"/>
      <c r="AD7" s="205"/>
      <c r="AE7" s="205"/>
      <c r="AF7" s="205"/>
      <c r="AG7" s="205"/>
    </row>
    <row r="8" spans="1:33" s="42" customFormat="1" ht="12.6" customHeight="1">
      <c r="A8" s="651" t="s">
        <v>353</v>
      </c>
      <c r="B8" s="253"/>
      <c r="C8" s="652">
        <f>IF(C5=0,0,PPACAPACITY/NetMW*(C6/C5))</f>
        <v>1</v>
      </c>
      <c r="D8" s="652">
        <f t="shared" ref="D8:AA8" si="5">IF(D5=0,0,PPACAPACITY/NetMW*(D6/D5))</f>
        <v>1</v>
      </c>
      <c r="E8" s="652">
        <f t="shared" si="5"/>
        <v>1</v>
      </c>
      <c r="F8" s="652">
        <f t="shared" si="5"/>
        <v>0.41666666666666669</v>
      </c>
      <c r="G8" s="652">
        <f t="shared" si="5"/>
        <v>0</v>
      </c>
      <c r="H8" s="652">
        <f t="shared" si="5"/>
        <v>0</v>
      </c>
      <c r="I8" s="652">
        <f t="shared" si="5"/>
        <v>0</v>
      </c>
      <c r="J8" s="652">
        <f t="shared" si="5"/>
        <v>0</v>
      </c>
      <c r="K8" s="652">
        <f t="shared" si="5"/>
        <v>0</v>
      </c>
      <c r="L8" s="652">
        <f t="shared" si="5"/>
        <v>0</v>
      </c>
      <c r="M8" s="652">
        <f t="shared" si="5"/>
        <v>0</v>
      </c>
      <c r="N8" s="652">
        <f t="shared" si="5"/>
        <v>0</v>
      </c>
      <c r="O8" s="652">
        <f t="shared" si="5"/>
        <v>0</v>
      </c>
      <c r="P8" s="652">
        <f t="shared" si="5"/>
        <v>0</v>
      </c>
      <c r="Q8" s="652">
        <f t="shared" si="5"/>
        <v>0</v>
      </c>
      <c r="R8" s="652">
        <f t="shared" si="5"/>
        <v>0</v>
      </c>
      <c r="S8" s="652">
        <f t="shared" si="5"/>
        <v>0</v>
      </c>
      <c r="T8" s="652">
        <f t="shared" si="5"/>
        <v>0</v>
      </c>
      <c r="U8" s="652">
        <f t="shared" si="5"/>
        <v>0</v>
      </c>
      <c r="V8" s="652">
        <f t="shared" si="5"/>
        <v>0</v>
      </c>
      <c r="W8" s="652">
        <f t="shared" si="5"/>
        <v>0</v>
      </c>
      <c r="X8" s="652">
        <f t="shared" si="5"/>
        <v>0</v>
      </c>
      <c r="Y8" s="652">
        <f t="shared" si="5"/>
        <v>0</v>
      </c>
      <c r="Z8" s="652">
        <f t="shared" si="5"/>
        <v>0</v>
      </c>
      <c r="AA8" s="653">
        <f t="shared" si="5"/>
        <v>0</v>
      </c>
      <c r="AB8" s="205"/>
      <c r="AC8" s="205"/>
      <c r="AD8" s="205"/>
      <c r="AE8" s="205"/>
      <c r="AF8" s="205"/>
      <c r="AG8" s="205"/>
    </row>
    <row r="9" spans="1:33" s="42" customFormat="1" ht="17.25" customHeight="1" outlineLevel="1">
      <c r="A9" s="654" t="s">
        <v>354</v>
      </c>
      <c r="B9" s="655" t="s">
        <v>297</v>
      </c>
      <c r="C9" s="656" t="str">
        <f>IF(C5=0,"",IF(C7=0,"PPA",IF(C6=0,"MERCH.","BLENDED")))</f>
        <v>PPA</v>
      </c>
      <c r="D9" s="656" t="str">
        <f>IF(D5=0,"",IF(D7=0,"PPA",IF(D6=0,"MERCH.","BLENDED")))</f>
        <v>PPA</v>
      </c>
      <c r="E9" s="656" t="str">
        <f t="shared" ref="E9:AA9" si="6">IF(E5=0,"",IF(E7=0,"PPA",IF(E6=0,"MERCH.","BLENDED")))</f>
        <v>PPA</v>
      </c>
      <c r="F9" s="656" t="str">
        <f t="shared" si="6"/>
        <v>BLENDED</v>
      </c>
      <c r="G9" s="656" t="str">
        <f t="shared" si="6"/>
        <v>MERCH.</v>
      </c>
      <c r="H9" s="656" t="str">
        <f t="shared" si="6"/>
        <v>MERCH.</v>
      </c>
      <c r="I9" s="656" t="str">
        <f t="shared" si="6"/>
        <v>MERCH.</v>
      </c>
      <c r="J9" s="656" t="str">
        <f t="shared" si="6"/>
        <v>MERCH.</v>
      </c>
      <c r="K9" s="656" t="str">
        <f t="shared" si="6"/>
        <v>MERCH.</v>
      </c>
      <c r="L9" s="656" t="str">
        <f t="shared" si="6"/>
        <v>MERCH.</v>
      </c>
      <c r="M9" s="656" t="str">
        <f t="shared" si="6"/>
        <v>MERCH.</v>
      </c>
      <c r="N9" s="656" t="str">
        <f t="shared" si="6"/>
        <v>MERCH.</v>
      </c>
      <c r="O9" s="656" t="str">
        <f t="shared" si="6"/>
        <v>MERCH.</v>
      </c>
      <c r="P9" s="656" t="str">
        <f t="shared" si="6"/>
        <v>MERCH.</v>
      </c>
      <c r="Q9" s="656" t="str">
        <f t="shared" si="6"/>
        <v>MERCH.</v>
      </c>
      <c r="R9" s="656" t="str">
        <f t="shared" si="6"/>
        <v>MERCH.</v>
      </c>
      <c r="S9" s="656" t="str">
        <f t="shared" si="6"/>
        <v>MERCH.</v>
      </c>
      <c r="T9" s="656" t="str">
        <f t="shared" si="6"/>
        <v>MERCH.</v>
      </c>
      <c r="U9" s="656" t="str">
        <f t="shared" si="6"/>
        <v>MERCH.</v>
      </c>
      <c r="V9" s="656" t="str">
        <f t="shared" si="6"/>
        <v>MERCH.</v>
      </c>
      <c r="W9" s="656" t="str">
        <f t="shared" si="6"/>
        <v>MERCH.</v>
      </c>
      <c r="X9" s="656" t="str">
        <f t="shared" si="6"/>
        <v/>
      </c>
      <c r="Y9" s="656" t="str">
        <f t="shared" si="6"/>
        <v/>
      </c>
      <c r="Z9" s="656" t="str">
        <f t="shared" si="6"/>
        <v/>
      </c>
      <c r="AA9" s="657" t="str">
        <f t="shared" si="6"/>
        <v/>
      </c>
      <c r="AB9" s="205"/>
      <c r="AC9" s="205"/>
      <c r="AD9" s="205"/>
      <c r="AE9" s="205"/>
      <c r="AF9" s="205"/>
      <c r="AG9" s="205"/>
    </row>
    <row r="10" spans="1:33" s="42" customFormat="1" ht="12.6" customHeight="1" outlineLevel="1">
      <c r="A10" s="248"/>
      <c r="B10" s="205"/>
      <c r="C10" s="259"/>
      <c r="D10" s="259"/>
      <c r="E10" s="647"/>
      <c r="F10" s="647"/>
      <c r="G10" s="647"/>
      <c r="H10" s="647"/>
      <c r="I10" s="647"/>
      <c r="J10" s="647"/>
      <c r="K10" s="647"/>
      <c r="L10" s="647"/>
      <c r="M10" s="647"/>
      <c r="N10" s="647"/>
      <c r="O10" s="647"/>
      <c r="P10" s="647"/>
      <c r="Q10" s="647"/>
      <c r="R10" s="647"/>
      <c r="S10" s="647"/>
      <c r="T10" s="647"/>
      <c r="U10" s="647"/>
      <c r="V10" s="647"/>
      <c r="W10" s="647"/>
      <c r="X10" s="647"/>
      <c r="Y10" s="647"/>
      <c r="Z10" s="647"/>
      <c r="AA10" s="647"/>
      <c r="AB10" s="205"/>
      <c r="AC10" s="205"/>
      <c r="AD10" s="205"/>
      <c r="AE10" s="205"/>
      <c r="AF10" s="205"/>
      <c r="AG10" s="205"/>
    </row>
    <row r="11" spans="1:33" s="42" customFormat="1" ht="12.6" customHeight="1" outlineLevel="1">
      <c r="A11" s="555" t="s">
        <v>143</v>
      </c>
      <c r="B11" s="534"/>
      <c r="C11" s="658">
        <f>IF('Project Assumptions'!$C$77="Yes",C25,C23)</f>
        <v>27.26</v>
      </c>
      <c r="D11" s="658">
        <f>IF('Project Assumptions'!$C$77="Yes",D25,D23)</f>
        <v>27.26</v>
      </c>
      <c r="E11" s="658">
        <f>IF('Project Assumptions'!$C$77="Yes",E25,E23)</f>
        <v>27.26</v>
      </c>
      <c r="F11" s="658">
        <f>IF('Project Assumptions'!$C$77="Yes",F25,F23)</f>
        <v>27.26</v>
      </c>
      <c r="G11" s="658">
        <f>IF('Project Assumptions'!$C$77="Yes",G25,G23)</f>
        <v>27.26</v>
      </c>
      <c r="H11" s="658">
        <f>IF('Project Assumptions'!$C$77="Yes",H25,H23)</f>
        <v>27.26</v>
      </c>
      <c r="I11" s="658">
        <f>IF('Project Assumptions'!$C$77="Yes",I25,I23)</f>
        <v>27.26</v>
      </c>
      <c r="J11" s="658">
        <f>IF('Project Assumptions'!$C$77="Yes",J25,J23)</f>
        <v>27.26</v>
      </c>
      <c r="K11" s="658">
        <f>IF('Project Assumptions'!$C$77="Yes",K25,K23)</f>
        <v>27.26</v>
      </c>
      <c r="L11" s="658">
        <f>IF('Project Assumptions'!$C$77="Yes",L25,L23)</f>
        <v>27.26</v>
      </c>
      <c r="M11" s="658">
        <f>IF('Project Assumptions'!$C$77="Yes",M25,M23)</f>
        <v>27.26</v>
      </c>
      <c r="N11" s="658">
        <f>IF('Project Assumptions'!$C$77="Yes",N25,N23)</f>
        <v>27.26</v>
      </c>
      <c r="O11" s="658">
        <f>IF('Project Assumptions'!$C$77="Yes",O25,O23)</f>
        <v>27.26</v>
      </c>
      <c r="P11" s="658">
        <f>IF('Project Assumptions'!$C$77="Yes",P25,P23)</f>
        <v>27.26</v>
      </c>
      <c r="Q11" s="658">
        <f>IF('Project Assumptions'!$C$77="Yes",Q25,Q23)</f>
        <v>27.26</v>
      </c>
      <c r="R11" s="658">
        <f>IF('Project Assumptions'!$C$77="Yes",R25,R23)</f>
        <v>27.26</v>
      </c>
      <c r="S11" s="658">
        <f>IF('Project Assumptions'!$C$77="Yes",S25,S23)</f>
        <v>27.26</v>
      </c>
      <c r="T11" s="658">
        <f>IF('Project Assumptions'!$C$77="Yes",T25,T23)</f>
        <v>27.26</v>
      </c>
      <c r="U11" s="658">
        <f>IF('Project Assumptions'!$C$77="Yes",U25,U23)</f>
        <v>27.26</v>
      </c>
      <c r="V11" s="658">
        <f>IF('Project Assumptions'!$C$77="Yes",V25,V23)</f>
        <v>27.26</v>
      </c>
      <c r="W11" s="658">
        <f>IF('Project Assumptions'!$C$77="Yes",W25,W23)</f>
        <v>27.26</v>
      </c>
      <c r="X11" s="658">
        <f>IF('Project Assumptions'!$C$77="Yes",X25,X23)</f>
        <v>0</v>
      </c>
      <c r="Y11" s="658">
        <f>IF('Project Assumptions'!$C$77="Yes",Y25,Y23)</f>
        <v>0</v>
      </c>
      <c r="Z11" s="658">
        <f>IF('Project Assumptions'!$C$77="Yes",Z25,Z23)</f>
        <v>0</v>
      </c>
      <c r="AA11" s="659">
        <f>IF('Project Assumptions'!$C$77="Yes",AA25,AA23)</f>
        <v>0</v>
      </c>
      <c r="AB11" s="205"/>
      <c r="AC11" s="205"/>
      <c r="AD11" s="205"/>
      <c r="AE11" s="205"/>
      <c r="AF11" s="205"/>
      <c r="AG11" s="205"/>
    </row>
    <row r="12" spans="1:33" s="42" customFormat="1" ht="12.6" customHeight="1" outlineLevel="1">
      <c r="A12" s="560" t="s">
        <v>144</v>
      </c>
      <c r="B12" s="253"/>
      <c r="C12" s="647">
        <f>IF(C5=0,0,IF(C$7=0,'Project Assumptions'!$I$29*C$13,IF(C$7=12,CHOOSE('Project Assumptions'!$C$74,C64,C65,C66,C67),('Project Assumptions'!$I$29*C$13*(C$6/C$5))+(CHOOSE('Project Assumptions'!$C$74,C64,C65,C66,C67)*C$7/C$5))))</f>
        <v>4</v>
      </c>
      <c r="D12" s="647">
        <f>IF(D5=0,0,IF(D$7=0,'Project Assumptions'!$I$29*D$13,IF(D$7=12,CHOOSE('Project Assumptions'!$C$74,D64,D65,D66,D67),('Project Assumptions'!$I$29*D$13*(D$6/D$5))+(CHOOSE('Project Assumptions'!$C$74,D64,D65,D66,D67)*D$7/D$5))))</f>
        <v>4</v>
      </c>
      <c r="E12" s="647">
        <f>IF(E5=0,0,IF(E$7=0,'Project Assumptions'!$I$29*E$13,IF(E$7=12,CHOOSE('Project Assumptions'!$C$74,E64,E65,E66,E67),('Project Assumptions'!$I$29*E$13*(E$6/E$5))+(CHOOSE('Project Assumptions'!$C$74,E64,E65,E66,E67)*E$7/E$5))))</f>
        <v>4</v>
      </c>
      <c r="F12" s="647">
        <f>IF(F5=0,0,IF(F$7=0,'Project Assumptions'!$I$29*F$13,IF(F$7=12,CHOOSE('Project Assumptions'!$C$74,F64,F65,F66,F67),('Project Assumptions'!$I$29*F$13*(F$6/F$5))+(CHOOSE('Project Assumptions'!$C$74,F64,F65,F66,F67)*F$7/F$5))))</f>
        <v>4.9915291158743047</v>
      </c>
      <c r="G12" s="647">
        <f>IF(G5=0,0,IF(G$7=0,'Project Assumptions'!$I$29*G$13,IF(G$7=12,CHOOSE('Project Assumptions'!$C$74,G64,G65,G66,G67),('Project Assumptions'!$I$29*G$13*(G$6/G$5))+(CHOOSE('Project Assumptions'!$C$74,G64,G65,G66,G67)*G$7/G$5))))</f>
        <v>5.7712527665568336</v>
      </c>
      <c r="H12" s="647">
        <f>IF(H5=0,0,IF(H$7=0,'Project Assumptions'!$I$29*H$13,IF(H$7=12,CHOOSE('Project Assumptions'!$C$74,H64,H65,H66,H67),('Project Assumptions'!$I$29*H$13*(H$6/H$5))+(CHOOSE('Project Assumptions'!$C$74,H64,H65,H66,H67)*H$7/H$5))))</f>
        <v>5.8419008607681322</v>
      </c>
      <c r="I12" s="647">
        <f>IF(I5=0,0,IF(I$7=0,'Project Assumptions'!$I$29*I$13,IF(I$7=12,CHOOSE('Project Assumptions'!$C$74,I64,I65,I66,I67),('Project Assumptions'!$I$29*I$13*(I$6/I$5))+(CHOOSE('Project Assumptions'!$C$74,I64,I65,I66,I67)*I$7/I$5))))</f>
        <v>5.9115937131422074</v>
      </c>
      <c r="J12" s="647">
        <f>IF(J5=0,0,IF(J$7=0,'Project Assumptions'!$I$29*J$13,IF(J$7=12,CHOOSE('Project Assumptions'!$C$74,J64,J65,J66,J67),('Project Assumptions'!$I$29*J$13*(J$6/J$5))+(CHOOSE('Project Assumptions'!$C$74,J64,J65,J66,J67)*J$7/J$5))))</f>
        <v>6.088941524536474</v>
      </c>
      <c r="K12" s="647">
        <f>IF(K5=0,0,IF(K$7=0,'Project Assumptions'!$I$29*K$13,IF(K$7=12,CHOOSE('Project Assumptions'!$C$74,K64,K65,K66,K67),('Project Assumptions'!$I$29*K$13*(K$6/K$5))+(CHOOSE('Project Assumptions'!$C$74,K64,K65,K66,K67)*K$7/K$5))))</f>
        <v>6.1596167386605574</v>
      </c>
      <c r="L12" s="647">
        <f>IF(L5=0,0,IF(L$7=0,'Project Assumptions'!$I$29*L$13,IF(L$7=12,CHOOSE('Project Assumptions'!$C$74,L64,L65,L66,L67),('Project Assumptions'!$I$29*L$13*(L$6/L$5))+(CHOOSE('Project Assumptions'!$C$74,L64,L65,L66,L67)*L$7/L$5))))</f>
        <v>6.3444052408203753</v>
      </c>
      <c r="M12" s="647">
        <f>IF(M5=0,0,IF(M$7=0,'Project Assumptions'!$I$29*M$13,IF(M$7=12,CHOOSE('Project Assumptions'!$C$74,M64,M65,M66,M67),('Project Assumptions'!$I$29*M$13*(M$6/M$5))+(CHOOSE('Project Assumptions'!$C$74,M64,M65,M66,M67)*M$7/M$5))))</f>
        <v>6.4159239908078041</v>
      </c>
      <c r="N12" s="647">
        <f>IF(N5=0,0,IF(N$7=0,'Project Assumptions'!$I$29*N$13,IF(N$7=12,CHOOSE('Project Assumptions'!$C$74,N64,N65,N66,N67),('Project Assumptions'!$I$29*N$13*(N$6/N$5))+(CHOOSE('Project Assumptions'!$C$74,N64,N65,N66,N67)*N$7/N$5))))</f>
        <v>6.6084017105320383</v>
      </c>
      <c r="O12" s="647">
        <f>IF(O5=0,0,IF(O$7=0,'Project Assumptions'!$I$29*O$13,IF(O$7=12,CHOOSE('Project Assumptions'!$C$74,O64,O65,O66,O67),('Project Assumptions'!$I$29*O$13*(O$6/O$5))+(CHOOSE('Project Assumptions'!$C$74,O64,O65,O66,O67)*O$7/O$5))))</f>
        <v>6.680604618110074</v>
      </c>
      <c r="P12" s="647">
        <f>IF(P5=0,0,IF(P$7=0,'Project Assumptions'!$I$29*P$13,IF(P$7=12,CHOOSE('Project Assumptions'!$C$74,P64,P65,P66,P67),('Project Assumptions'!$I$29*P$13*(P$6/P$5))+(CHOOSE('Project Assumptions'!$C$74,P64,P65,P66,P67)*P$7/P$5))))</f>
        <v>6.7511921386033125</v>
      </c>
      <c r="Q12" s="647">
        <f>IF(Q5=0,0,IF(Q$7=0,'Project Assumptions'!$I$29*Q$13,IF(Q$7=12,CHOOSE('Project Assumptions'!$C$74,Q64,Q65,Q66,Q67),('Project Assumptions'!$I$29*Q$13*(Q$6/Q$5))+(CHOOSE('Project Assumptions'!$C$74,Q64,Q65,Q66,Q67)*Q$7/Q$5))))</f>
        <v>6.8200023661698452</v>
      </c>
      <c r="R12" s="647">
        <f>IF(R5=0,0,IF(R$7=0,'Project Assumptions'!$I$29*R$13,IF(R$7=12,CHOOSE('Project Assumptions'!$C$74,R64,R65,R66,R67),('Project Assumptions'!$I$29*R$13*(R$6/R$5))+(CHOOSE('Project Assumptions'!$C$74,R64,R65,R66,R67)*R$7/R$5))))</f>
        <v>6.8868651344656273</v>
      </c>
      <c r="S12" s="647">
        <f>IF(S5=0,0,IF(S$7=0,'Project Assumptions'!$I$29*S$13,IF(S$7=12,CHOOSE('Project Assumptions'!$C$74,S64,S65,S66,S67),('Project Assumptions'!$I$29*S$13*(S$6/S$5))+(CHOOSE('Project Assumptions'!$C$74,S64,S65,S66,S67)*S$7/S$5))))</f>
        <v>6.951601666729605</v>
      </c>
      <c r="T12" s="647">
        <f>IF(T5=0,0,IF(T$7=0,'Project Assumptions'!$I$29*T$13,IF(T$7=12,CHOOSE('Project Assumptions'!$C$74,T64,T65,T66,T67),('Project Assumptions'!$I$29*T$13*(T$6/T$5))+(CHOOSE('Project Assumptions'!$C$74,T64,T65,T66,T67)*T$7/T$5))))</f>
        <v>7.014024212308402</v>
      </c>
      <c r="U12" s="647">
        <f>IF(U5=0,0,IF(U$7=0,'Project Assumptions'!$I$29*U$13,IF(U$7=12,CHOOSE('Project Assumptions'!$C$74,U64,U65,U66,U67),('Project Assumptions'!$I$29*U$13*(U$6/U$5))+(CHOOSE('Project Assumptions'!$C$74,U64,U65,U66,U67)*U$7/U$5))))</f>
        <v>7.0739356691218687</v>
      </c>
      <c r="V12" s="647">
        <f>IF(V5=0,0,IF(V$7=0,'Project Assumptions'!$I$29*V$13,IF(V$7=12,CHOOSE('Project Assumptions'!$C$74,V64,V65,V66,V67),('Project Assumptions'!$I$29*V$13*(V$6/V$5))+(CHOOSE('Project Assumptions'!$C$74,V64,V65,V66,V67)*V$7/V$5))))</f>
        <v>7.1311291915530655</v>
      </c>
      <c r="W12" s="647">
        <f>IF(W5=0,0,IF(W$7=0,'Project Assumptions'!$I$29*W$13,IF(W$7=12,CHOOSE('Project Assumptions'!$C$74,W64,W65,W66,W67),('Project Assumptions'!$I$29*W$13*(W$6/W$5))+(CHOOSE('Project Assumptions'!$C$74,W64,W65,W66,W67)*W$7/W$5))))</f>
        <v>7.1853877832279265</v>
      </c>
      <c r="X12" s="647">
        <f>IF(X5=0,0,IF(X$7=0,'Project Assumptions'!$I$29*X$13,IF(X$7=12,CHOOSE('Project Assumptions'!$C$74,X64,X65,X66,X67),('Project Assumptions'!$I$29*X$13*(X$6/X$5))+(CHOOSE('Project Assumptions'!$C$74,X64,X65,X66,X67)*X$7/X$5))))</f>
        <v>0</v>
      </c>
      <c r="Y12" s="647">
        <f>IF(Y5=0,0,IF(Y$7=0,'Project Assumptions'!$I$29*Y$13,IF(Y$7=12,CHOOSE('Project Assumptions'!$C$74,Y64,Y65,Y66,Y67),('Project Assumptions'!$I$29*Y$13*(Y$6/Y$5))+(CHOOSE('Project Assumptions'!$C$74,Y64,Y65,Y66,Y67)*Y$7/Y$5))))</f>
        <v>0</v>
      </c>
      <c r="Z12" s="647">
        <f>IF(Z5=0,0,IF(Z$7=0,'Project Assumptions'!$I$29*Z$13,IF(Z$7=12,CHOOSE('Project Assumptions'!$C$74,Z64,Z65,Z66,Z67),('Project Assumptions'!$I$29*Z$13*(Z$6/Z$5))+(CHOOSE('Project Assumptions'!$C$74,Z64,Z65,Z66,Z67)*Z$7/Z$5))))</f>
        <v>0</v>
      </c>
      <c r="AA12" s="660">
        <f>IF(AA5=0,0,IF(AA$7=0,'Project Assumptions'!$I$29*AA$13,IF(AA$7=12,CHOOSE('Project Assumptions'!$C$74,AA64,AA65,AA66,AA67),('Project Assumptions'!$I$29*AA$13*(AA$6/AA$5))+(CHOOSE('Project Assumptions'!$C$74,AA64,AA65,AA66,AA67)*AA$7/AA$5))))</f>
        <v>0</v>
      </c>
      <c r="AB12" s="205"/>
      <c r="AC12" s="205"/>
      <c r="AD12" s="205"/>
      <c r="AE12" s="205"/>
      <c r="AF12" s="205"/>
      <c r="AG12" s="205"/>
    </row>
    <row r="13" spans="1:33" s="42" customFormat="1" ht="12.6" customHeight="1" outlineLevel="1">
      <c r="A13" s="560" t="s">
        <v>355</v>
      </c>
      <c r="B13" s="537">
        <f>NPV(B14,C13:G13)</f>
        <v>3.6047762023450041</v>
      </c>
      <c r="C13" s="661">
        <v>1</v>
      </c>
      <c r="D13" s="662">
        <f>C13*(1+'Project Assumptions'!$I$30)</f>
        <v>1</v>
      </c>
      <c r="E13" s="662">
        <f>D13*(1+'Project Assumptions'!$I$30)</f>
        <v>1</v>
      </c>
      <c r="F13" s="662">
        <f>E13*(1+'Project Assumptions'!$I$30)</f>
        <v>1</v>
      </c>
      <c r="G13" s="662">
        <f>F13*(1+'Project Assumptions'!$I$30)</f>
        <v>1</v>
      </c>
      <c r="H13" s="662">
        <f>G13*(1+'Project Assumptions'!$I$30)</f>
        <v>1</v>
      </c>
      <c r="I13" s="662">
        <f>H13*(1+'Project Assumptions'!$I$30)</f>
        <v>1</v>
      </c>
      <c r="J13" s="662">
        <f>I13*(1+'Project Assumptions'!$I$30)</f>
        <v>1</v>
      </c>
      <c r="K13" s="662">
        <f>J13*(1+'Project Assumptions'!$I$30)</f>
        <v>1</v>
      </c>
      <c r="L13" s="662">
        <f>K13*(1+'Project Assumptions'!$I$30)</f>
        <v>1</v>
      </c>
      <c r="M13" s="662">
        <f>L13*(1+'Project Assumptions'!$I$30)</f>
        <v>1</v>
      </c>
      <c r="N13" s="662">
        <f>M13*(1+'Project Assumptions'!$I$30)</f>
        <v>1</v>
      </c>
      <c r="O13" s="662">
        <f>N13*(1+'Project Assumptions'!$I$30)</f>
        <v>1</v>
      </c>
      <c r="P13" s="662">
        <f>O13*(1+'Project Assumptions'!$I$30)</f>
        <v>1</v>
      </c>
      <c r="Q13" s="662">
        <f>P13*(1+'Project Assumptions'!$I$30)</f>
        <v>1</v>
      </c>
      <c r="R13" s="662">
        <f>Q13*(1+'Project Assumptions'!$I$30)</f>
        <v>1</v>
      </c>
      <c r="S13" s="662">
        <f>R13*(1+'Project Assumptions'!$I$30)</f>
        <v>1</v>
      </c>
      <c r="T13" s="662">
        <f>S13*(1+'Project Assumptions'!$I$30)</f>
        <v>1</v>
      </c>
      <c r="U13" s="662">
        <f>T13*(1+'Project Assumptions'!$I$30)</f>
        <v>1</v>
      </c>
      <c r="V13" s="662">
        <f>U13*(1+'Project Assumptions'!$I$30)</f>
        <v>1</v>
      </c>
      <c r="W13" s="662">
        <f>V13*(1+'Project Assumptions'!$I$30)</f>
        <v>1</v>
      </c>
      <c r="X13" s="662">
        <f>W13*(1+'Project Assumptions'!$I$30)</f>
        <v>1</v>
      </c>
      <c r="Y13" s="662">
        <f>X13*(1+'Project Assumptions'!$I$30)</f>
        <v>1</v>
      </c>
      <c r="Z13" s="662">
        <f>Y13*(1+'Project Assumptions'!$I$30)</f>
        <v>1</v>
      </c>
      <c r="AA13" s="663">
        <f>Z13*(1+'Project Assumptions'!$I$30)</f>
        <v>1</v>
      </c>
      <c r="AB13" s="205"/>
      <c r="AC13" s="205"/>
      <c r="AD13" s="205"/>
      <c r="AE13" s="205"/>
      <c r="AF13" s="205"/>
      <c r="AG13" s="205"/>
    </row>
    <row r="14" spans="1:33" s="42" customFormat="1" ht="12.6" customHeight="1" outlineLevel="1">
      <c r="A14" s="560" t="s">
        <v>113</v>
      </c>
      <c r="B14" s="603">
        <v>0.12</v>
      </c>
      <c r="C14" s="664">
        <v>0</v>
      </c>
      <c r="D14" s="665">
        <f>+C14</f>
        <v>0</v>
      </c>
      <c r="E14" s="665">
        <f t="shared" ref="E14:AA14" si="7">+D14</f>
        <v>0</v>
      </c>
      <c r="F14" s="665">
        <f t="shared" si="7"/>
        <v>0</v>
      </c>
      <c r="G14" s="665">
        <f t="shared" si="7"/>
        <v>0</v>
      </c>
      <c r="H14" s="665">
        <f t="shared" si="7"/>
        <v>0</v>
      </c>
      <c r="I14" s="665">
        <f t="shared" si="7"/>
        <v>0</v>
      </c>
      <c r="J14" s="665">
        <f t="shared" si="7"/>
        <v>0</v>
      </c>
      <c r="K14" s="665">
        <f t="shared" si="7"/>
        <v>0</v>
      </c>
      <c r="L14" s="665">
        <f t="shared" si="7"/>
        <v>0</v>
      </c>
      <c r="M14" s="665">
        <f t="shared" si="7"/>
        <v>0</v>
      </c>
      <c r="N14" s="665">
        <f t="shared" si="7"/>
        <v>0</v>
      </c>
      <c r="O14" s="665">
        <f t="shared" si="7"/>
        <v>0</v>
      </c>
      <c r="P14" s="665">
        <f t="shared" si="7"/>
        <v>0</v>
      </c>
      <c r="Q14" s="665">
        <f t="shared" si="7"/>
        <v>0</v>
      </c>
      <c r="R14" s="665">
        <f t="shared" si="7"/>
        <v>0</v>
      </c>
      <c r="S14" s="665">
        <f t="shared" si="7"/>
        <v>0</v>
      </c>
      <c r="T14" s="665">
        <f t="shared" si="7"/>
        <v>0</v>
      </c>
      <c r="U14" s="665">
        <f t="shared" si="7"/>
        <v>0</v>
      </c>
      <c r="V14" s="665">
        <f t="shared" si="7"/>
        <v>0</v>
      </c>
      <c r="W14" s="665">
        <f t="shared" si="7"/>
        <v>0</v>
      </c>
      <c r="X14" s="665">
        <f t="shared" si="7"/>
        <v>0</v>
      </c>
      <c r="Y14" s="665">
        <f t="shared" si="7"/>
        <v>0</v>
      </c>
      <c r="Z14" s="665">
        <f t="shared" si="7"/>
        <v>0</v>
      </c>
      <c r="AA14" s="666">
        <f t="shared" si="7"/>
        <v>0</v>
      </c>
      <c r="AB14" s="205"/>
      <c r="AC14" s="205"/>
      <c r="AD14" s="205"/>
      <c r="AE14" s="205"/>
      <c r="AF14" s="205"/>
      <c r="AG14" s="205"/>
    </row>
    <row r="15" spans="1:33" s="42" customFormat="1" ht="12.6" customHeight="1" outlineLevel="1">
      <c r="A15" s="560" t="s">
        <v>145</v>
      </c>
      <c r="B15" s="253"/>
      <c r="C15" s="664">
        <v>0</v>
      </c>
      <c r="D15" s="665">
        <f>+C15</f>
        <v>0</v>
      </c>
      <c r="E15" s="665">
        <f t="shared" ref="E15:AA15" si="8">+D15</f>
        <v>0</v>
      </c>
      <c r="F15" s="665">
        <f t="shared" si="8"/>
        <v>0</v>
      </c>
      <c r="G15" s="665">
        <f t="shared" si="8"/>
        <v>0</v>
      </c>
      <c r="H15" s="665">
        <f t="shared" si="8"/>
        <v>0</v>
      </c>
      <c r="I15" s="665">
        <f t="shared" si="8"/>
        <v>0</v>
      </c>
      <c r="J15" s="665">
        <f t="shared" si="8"/>
        <v>0</v>
      </c>
      <c r="K15" s="665">
        <f t="shared" si="8"/>
        <v>0</v>
      </c>
      <c r="L15" s="665">
        <f t="shared" si="8"/>
        <v>0</v>
      </c>
      <c r="M15" s="665">
        <f t="shared" si="8"/>
        <v>0</v>
      </c>
      <c r="N15" s="665">
        <f t="shared" si="8"/>
        <v>0</v>
      </c>
      <c r="O15" s="665">
        <f t="shared" si="8"/>
        <v>0</v>
      </c>
      <c r="P15" s="665">
        <f t="shared" si="8"/>
        <v>0</v>
      </c>
      <c r="Q15" s="665">
        <f t="shared" si="8"/>
        <v>0</v>
      </c>
      <c r="R15" s="665">
        <f t="shared" si="8"/>
        <v>0</v>
      </c>
      <c r="S15" s="665">
        <f t="shared" si="8"/>
        <v>0</v>
      </c>
      <c r="T15" s="665">
        <f t="shared" si="8"/>
        <v>0</v>
      </c>
      <c r="U15" s="665">
        <f t="shared" si="8"/>
        <v>0</v>
      </c>
      <c r="V15" s="665">
        <f t="shared" si="8"/>
        <v>0</v>
      </c>
      <c r="W15" s="665">
        <f t="shared" si="8"/>
        <v>0</v>
      </c>
      <c r="X15" s="665">
        <f t="shared" si="8"/>
        <v>0</v>
      </c>
      <c r="Y15" s="665">
        <f t="shared" si="8"/>
        <v>0</v>
      </c>
      <c r="Z15" s="665">
        <f t="shared" si="8"/>
        <v>0</v>
      </c>
      <c r="AA15" s="666">
        <f t="shared" si="8"/>
        <v>0</v>
      </c>
      <c r="AB15" s="205"/>
      <c r="AC15" s="205"/>
      <c r="AD15" s="205"/>
      <c r="AE15" s="205"/>
      <c r="AF15" s="205"/>
      <c r="AG15" s="205"/>
    </row>
    <row r="16" spans="1:33" s="42" customFormat="1" ht="12.6" customHeight="1" outlineLevel="1">
      <c r="A16" s="511" t="s">
        <v>356</v>
      </c>
      <c r="B16" s="253"/>
      <c r="C16" s="665"/>
      <c r="D16" s="665"/>
      <c r="E16" s="665"/>
      <c r="F16" s="665"/>
      <c r="G16" s="665"/>
      <c r="H16" s="665"/>
      <c r="I16" s="665"/>
      <c r="J16" s="665"/>
      <c r="K16" s="665"/>
      <c r="L16" s="665"/>
      <c r="M16" s="665"/>
      <c r="N16" s="665"/>
      <c r="O16" s="665"/>
      <c r="P16" s="665"/>
      <c r="Q16" s="665"/>
      <c r="R16" s="665"/>
      <c r="S16" s="667">
        <v>0</v>
      </c>
      <c r="T16" s="668">
        <f>S16</f>
        <v>0</v>
      </c>
      <c r="U16" s="668">
        <f>T16</f>
        <v>0</v>
      </c>
      <c r="V16" s="668">
        <f>U16</f>
        <v>0</v>
      </c>
      <c r="W16" s="668"/>
      <c r="X16" s="668"/>
      <c r="Y16" s="668"/>
      <c r="Z16" s="668"/>
      <c r="AA16" s="669"/>
      <c r="AB16" s="205"/>
      <c r="AC16" s="205"/>
      <c r="AD16" s="205"/>
      <c r="AE16" s="205"/>
      <c r="AF16" s="205"/>
      <c r="AG16" s="205"/>
    </row>
    <row r="17" spans="1:33" s="42" customFormat="1" ht="12.6" customHeight="1" outlineLevel="1">
      <c r="A17" s="511" t="s">
        <v>113</v>
      </c>
      <c r="B17" s="253"/>
      <c r="C17" s="665"/>
      <c r="D17" s="665"/>
      <c r="E17" s="665"/>
      <c r="F17" s="665"/>
      <c r="G17" s="665"/>
      <c r="H17" s="665"/>
      <c r="I17" s="665"/>
      <c r="J17" s="665"/>
      <c r="K17" s="665"/>
      <c r="L17" s="665"/>
      <c r="M17" s="665"/>
      <c r="N17" s="665"/>
      <c r="O17" s="665"/>
      <c r="P17" s="665"/>
      <c r="Q17" s="665"/>
      <c r="R17" s="664">
        <v>0</v>
      </c>
      <c r="S17" s="665">
        <f>+R17</f>
        <v>0</v>
      </c>
      <c r="T17" s="665">
        <f t="shared" ref="T17:V18" si="9">+S17</f>
        <v>0</v>
      </c>
      <c r="U17" s="665">
        <f t="shared" si="9"/>
        <v>0</v>
      </c>
      <c r="V17" s="665">
        <f t="shared" si="9"/>
        <v>0</v>
      </c>
      <c r="W17" s="665"/>
      <c r="X17" s="665"/>
      <c r="Y17" s="665"/>
      <c r="Z17" s="665"/>
      <c r="AA17" s="666"/>
      <c r="AB17" s="205"/>
      <c r="AC17" s="205"/>
      <c r="AD17" s="205"/>
      <c r="AE17" s="205"/>
      <c r="AF17" s="205"/>
      <c r="AG17" s="205"/>
    </row>
    <row r="18" spans="1:33" s="42" customFormat="1" ht="12.6" customHeight="1" outlineLevel="1">
      <c r="A18" s="511" t="s">
        <v>145</v>
      </c>
      <c r="B18" s="253"/>
      <c r="C18" s="665"/>
      <c r="D18" s="665"/>
      <c r="E18" s="665"/>
      <c r="F18" s="665"/>
      <c r="G18" s="665"/>
      <c r="H18" s="665"/>
      <c r="I18" s="665"/>
      <c r="J18" s="665"/>
      <c r="K18" s="665"/>
      <c r="L18" s="665"/>
      <c r="M18" s="665"/>
      <c r="N18" s="665"/>
      <c r="O18" s="665"/>
      <c r="P18" s="665"/>
      <c r="Q18" s="665"/>
      <c r="R18" s="664">
        <v>0</v>
      </c>
      <c r="S18" s="665">
        <f>+R18</f>
        <v>0</v>
      </c>
      <c r="T18" s="665">
        <f t="shared" si="9"/>
        <v>0</v>
      </c>
      <c r="U18" s="665">
        <f t="shared" si="9"/>
        <v>0</v>
      </c>
      <c r="V18" s="665">
        <f t="shared" si="9"/>
        <v>0</v>
      </c>
      <c r="W18" s="665"/>
      <c r="X18" s="665"/>
      <c r="Y18" s="665"/>
      <c r="Z18" s="665"/>
      <c r="AA18" s="666"/>
      <c r="AB18" s="205"/>
      <c r="AC18" s="205"/>
      <c r="AD18" s="205"/>
      <c r="AE18" s="205"/>
      <c r="AF18" s="205"/>
      <c r="AG18" s="205"/>
    </row>
    <row r="19" spans="1:33" s="42" customFormat="1" ht="12.6" customHeight="1">
      <c r="A19" s="511"/>
      <c r="B19" s="253"/>
      <c r="C19" s="665"/>
      <c r="D19" s="665"/>
      <c r="E19" s="665"/>
      <c r="F19" s="665"/>
      <c r="G19" s="665"/>
      <c r="H19" s="665"/>
      <c r="I19" s="665"/>
      <c r="J19" s="665"/>
      <c r="K19" s="665"/>
      <c r="L19" s="665"/>
      <c r="M19" s="665"/>
      <c r="N19" s="665"/>
      <c r="O19" s="665"/>
      <c r="P19" s="665"/>
      <c r="Q19" s="665"/>
      <c r="R19" s="665"/>
      <c r="S19" s="665"/>
      <c r="T19" s="665"/>
      <c r="U19" s="665"/>
      <c r="V19" s="665"/>
      <c r="W19" s="665"/>
      <c r="X19" s="665"/>
      <c r="Y19" s="665"/>
      <c r="Z19" s="665"/>
      <c r="AA19" s="666"/>
      <c r="AB19" s="205"/>
      <c r="AC19" s="205"/>
      <c r="AD19" s="205"/>
      <c r="AE19" s="205"/>
      <c r="AF19" s="205"/>
      <c r="AG19" s="205"/>
    </row>
    <row r="20" spans="1:33" s="45" customFormat="1" ht="15.75">
      <c r="A20" s="670" t="s">
        <v>339</v>
      </c>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524"/>
      <c r="AB20" s="253"/>
      <c r="AC20" s="253"/>
      <c r="AD20" s="253"/>
      <c r="AE20" s="253"/>
      <c r="AF20" s="253"/>
      <c r="AG20" s="253"/>
    </row>
    <row r="21" spans="1:33" s="5" customFormat="1" ht="12.6" customHeight="1">
      <c r="A21" s="449" t="s">
        <v>340</v>
      </c>
      <c r="B21" s="453"/>
      <c r="C21" s="671">
        <f>IF(C3&gt;ProjectLife+1,0,('Book Income Statement'!D17/Operations!C30*1000))</f>
        <v>55.734805174748921</v>
      </c>
      <c r="D21" s="671">
        <f>IF(D3&gt;ProjectLife+1,0,('Book Income Statement'!E17/Operations!D30*1000))</f>
        <v>72.564849557561161</v>
      </c>
      <c r="E21" s="671">
        <f>IF(E3&gt;ProjectLife+1,0,('Book Income Statement'!F17/Operations!E30*1000))</f>
        <v>72.723482234436247</v>
      </c>
      <c r="F21" s="671">
        <f>IF(F3&gt;ProjectLife+1,0,('Book Income Statement'!G17/Operations!F30*1000))</f>
        <v>80.313836370515403</v>
      </c>
      <c r="G21" s="671">
        <f>IF(G3&gt;ProjectLife+1,0,('Book Income Statement'!H17/Operations!G30*1000))</f>
        <v>86.693508888693827</v>
      </c>
      <c r="H21" s="671">
        <f>IF(H3&gt;ProjectLife+1,0,('Book Income Statement'!I17/Operations!H30*1000))</f>
        <v>87.470337898816581</v>
      </c>
      <c r="I21" s="671">
        <f>IF(I3&gt;ProjectLife+1,0,('Book Income Statement'!J17/Operations!I30*1000))</f>
        <v>88.24055478343972</v>
      </c>
      <c r="J21" s="671">
        <f>IF(J3&gt;ProjectLife+1,0,('Book Income Statement'!K17/Operations!J30*1000))</f>
        <v>90.06890789185978</v>
      </c>
      <c r="K21" s="671">
        <f>IF(K3&gt;ProjectLife+1,0,('Book Income Statement'!L17/Operations!K30*1000))</f>
        <v>90.854579883734786</v>
      </c>
      <c r="L21" s="671">
        <f>IF(L3&gt;ProjectLife+1,0,('Book Income Statement'!M17/Operations!L30*1000))</f>
        <v>92.761353745163689</v>
      </c>
      <c r="M21" s="671">
        <f>IF(M3&gt;ProjectLife+1,0,('Book Income Statement'!N17/Operations!M30*1000))</f>
        <v>93.560959431511122</v>
      </c>
      <c r="N21" s="671">
        <f>IF(N3&gt;ProjectLife+1,0,('Book Income Statement'!O17/Operations!N30*1000))</f>
        <v>95.548924679373329</v>
      </c>
      <c r="O21" s="671">
        <f>IF(O3&gt;ProjectLife+1,0,('Book Income Statement'!P17/Operations!O30*1000))</f>
        <v>96.361247276039748</v>
      </c>
      <c r="P21" s="671">
        <f>IF(P3&gt;ProjectLife+1,0,('Book Income Statement'!Q17/Operations!P30*1000))</f>
        <v>97.16088110234719</v>
      </c>
      <c r="Q21" s="671">
        <f>IF(Q3&gt;ProjectLife+1,0,('Book Income Statement'!R17/Operations!Q30*1000))</f>
        <v>97.946333741737149</v>
      </c>
      <c r="R21" s="671">
        <f>IF(R3&gt;ProjectLife+1,0,('Book Income Statement'!S17/Operations!R30*1000))</f>
        <v>98.716034652550888</v>
      </c>
      <c r="S21" s="671">
        <f>IF(S3&gt;ProjectLife+1,0,('Book Income Statement'!T17/Operations!S30*1000))</f>
        <v>99.468331823698364</v>
      </c>
      <c r="T21" s="671">
        <f>IF(T3&gt;ProjectLife+1,0,('Book Income Statement'!U17/Operations!T30*1000))</f>
        <v>100.20148829997991</v>
      </c>
      <c r="U21" s="671">
        <f>IF(U3&gt;ProjectLife+1,0,('Book Income Statement'!V17/Operations!U30*1000))</f>
        <v>100.91367857224951</v>
      </c>
      <c r="V21" s="671">
        <f>IF(V3&gt;ProjectLife+1,0,('Book Income Statement'!W17/Operations!V30*1000))</f>
        <v>101.60298482743777</v>
      </c>
      <c r="W21" s="671">
        <f>IF(W3&gt;ProjectLife+1,0,('Book Income Statement'!X17/Operations!W30*1000))</f>
        <v>61.171790931560828</v>
      </c>
      <c r="X21" s="671">
        <f>IF(X3&gt;ProjectLife+1,0,('Book Income Statement'!Y17/Operations!X30*1000))</f>
        <v>0</v>
      </c>
      <c r="Y21" s="671">
        <f>IF(Y3&gt;ProjectLife+1,0,('Book Income Statement'!Z17/Operations!Y30*1000))</f>
        <v>0</v>
      </c>
      <c r="Z21" s="671">
        <f>IF(Z3&gt;ProjectLife+1,0,('Book Income Statement'!AA17/Operations!Z30*1000))</f>
        <v>0</v>
      </c>
      <c r="AA21" s="672">
        <f>IF(AA3&gt;ProjectLife+1,0,('Book Income Statement'!AB17/Operations!AA30*1000))</f>
        <v>0</v>
      </c>
      <c r="AB21" s="267"/>
      <c r="AC21" s="267"/>
      <c r="AD21" s="267"/>
      <c r="AE21" s="267"/>
      <c r="AF21" s="267"/>
      <c r="AG21" s="267"/>
    </row>
    <row r="22" spans="1:33" s="5" customFormat="1" ht="12.6" customHeight="1">
      <c r="A22" s="673"/>
      <c r="B22" s="453"/>
      <c r="C22" s="671"/>
      <c r="D22" s="671"/>
      <c r="E22" s="671"/>
      <c r="F22" s="671"/>
      <c r="G22" s="671"/>
      <c r="H22" s="671"/>
      <c r="I22" s="671"/>
      <c r="J22" s="671"/>
      <c r="K22" s="671"/>
      <c r="L22" s="671"/>
      <c r="M22" s="671"/>
      <c r="N22" s="671"/>
      <c r="O22" s="671"/>
      <c r="P22" s="671"/>
      <c r="Q22" s="671"/>
      <c r="R22" s="671"/>
      <c r="S22" s="671"/>
      <c r="T22" s="671"/>
      <c r="U22" s="671"/>
      <c r="V22" s="671"/>
      <c r="W22" s="671"/>
      <c r="X22" s="671"/>
      <c r="Y22" s="671"/>
      <c r="Z22" s="671"/>
      <c r="AA22" s="672"/>
      <c r="AB22" s="267"/>
      <c r="AC22" s="267"/>
      <c r="AD22" s="267"/>
      <c r="AE22" s="267"/>
      <c r="AF22" s="267"/>
      <c r="AG22" s="267"/>
    </row>
    <row r="23" spans="1:33" s="5" customFormat="1" ht="12.6" customHeight="1">
      <c r="A23" s="449" t="s">
        <v>88</v>
      </c>
      <c r="B23" s="453"/>
      <c r="C23" s="674">
        <f>IF(C3&gt;ProjectLife+1,0,IF(Operations!C30=0,0,(Operations!C44*Operations!C32/1000)))</f>
        <v>27.26</v>
      </c>
      <c r="D23" s="674">
        <f>IF(D3&gt;ProjectLife+1,0,IF(Operations!D30=0,0,(Operations!D44*Operations!D32/1000)))</f>
        <v>27.26</v>
      </c>
      <c r="E23" s="674">
        <f>IF(E3&gt;ProjectLife+1,0,IF(Operations!E30=0,0,(Operations!E44*Operations!E32/1000)))</f>
        <v>27.26</v>
      </c>
      <c r="F23" s="674">
        <f>IF(F3&gt;ProjectLife+1,0,IF(Operations!F30=0,0,(Operations!F44*Operations!F32/1000)))</f>
        <v>27.26</v>
      </c>
      <c r="G23" s="674">
        <f>IF(G3&gt;ProjectLife+1,0,IF(Operations!G30=0,0,(Operations!G44*Operations!G32/1000)))</f>
        <v>27.26</v>
      </c>
      <c r="H23" s="674">
        <f>IF(H3&gt;ProjectLife+1,0,IF(Operations!H30=0,0,(Operations!H44*Operations!H32/1000)))</f>
        <v>27.26</v>
      </c>
      <c r="I23" s="674">
        <f>IF(I3&gt;ProjectLife+1,0,IF(Operations!I30=0,0,(Operations!I44*Operations!I32/1000)))</f>
        <v>27.26</v>
      </c>
      <c r="J23" s="674">
        <f>IF(J3&gt;ProjectLife+1,0,IF(Operations!J30=0,0,(Operations!J44*Operations!J32/1000)))</f>
        <v>27.26</v>
      </c>
      <c r="K23" s="674">
        <f>IF(K3&gt;ProjectLife+1,0,IF(Operations!K30=0,0,(Operations!K44*Operations!K32/1000)))</f>
        <v>27.26</v>
      </c>
      <c r="L23" s="674">
        <f>IF(L3&gt;ProjectLife+1,0,IF(Operations!L30=0,0,(Operations!L44*Operations!L32/1000)))</f>
        <v>27.26</v>
      </c>
      <c r="M23" s="674">
        <f>IF(M3&gt;ProjectLife+1,0,IF(Operations!M30=0,0,(Operations!M44*Operations!M32/1000)))</f>
        <v>27.26</v>
      </c>
      <c r="N23" s="674">
        <f>IF(N3&gt;ProjectLife+1,0,IF(Operations!N30=0,0,(Operations!N44*Operations!N32/1000)))</f>
        <v>27.26</v>
      </c>
      <c r="O23" s="674">
        <f>IF(O3&gt;ProjectLife+1,0,IF(Operations!O30=0,0,(Operations!O44*Operations!O32/1000)))</f>
        <v>27.26</v>
      </c>
      <c r="P23" s="674">
        <f>IF(P3&gt;ProjectLife+1,0,IF(Operations!P30=0,0,(Operations!P44*Operations!P32/1000)))</f>
        <v>27.26</v>
      </c>
      <c r="Q23" s="674">
        <f>IF(Q3&gt;ProjectLife+1,0,IF(Operations!Q30=0,0,(Operations!Q44*Operations!Q32/1000)))</f>
        <v>27.26</v>
      </c>
      <c r="R23" s="674">
        <f>IF(R3&gt;ProjectLife+1,0,IF(Operations!R30=0,0,(Operations!R44*Operations!R32/1000)))</f>
        <v>27.26</v>
      </c>
      <c r="S23" s="674">
        <f>IF(S3&gt;ProjectLife+1,0,IF(Operations!S30=0,0,(Operations!S44*Operations!S32/1000)))</f>
        <v>27.26</v>
      </c>
      <c r="T23" s="674">
        <f>IF(T3&gt;ProjectLife+1,0,IF(Operations!T30=0,0,(Operations!T44*Operations!T32/1000)))</f>
        <v>27.26</v>
      </c>
      <c r="U23" s="674">
        <f>IF(U3&gt;ProjectLife+1,0,IF(Operations!U30=0,0,(Operations!U44*Operations!U32/1000)))</f>
        <v>27.26</v>
      </c>
      <c r="V23" s="674">
        <f>IF(V3&gt;ProjectLife+1,0,IF(Operations!V30=0,0,(Operations!V44*Operations!V32/1000)))</f>
        <v>27.26</v>
      </c>
      <c r="W23" s="674">
        <f>IF(W3&gt;ProjectLife+1,0,IF(Operations!W30=0,0,(Operations!W44*Operations!W32/1000)))</f>
        <v>27.26</v>
      </c>
      <c r="X23" s="674">
        <f>IF(X3&gt;ProjectLife+1,0,IF(Operations!X30=0,0,(Operations!X44*Operations!X32/1000)))</f>
        <v>0</v>
      </c>
      <c r="Y23" s="674">
        <f>IF(Y3&gt;ProjectLife+1,0,IF(Operations!Y30=0,0,(Operations!Y44*Operations!Y32/1000)))</f>
        <v>0</v>
      </c>
      <c r="Z23" s="674">
        <f>IF(Z3&gt;ProjectLife+1,0,IF(Operations!Z30=0,0,(Operations!Z44*Operations!Z32/1000)))</f>
        <v>0</v>
      </c>
      <c r="AA23" s="675">
        <f>IF(AA3&gt;ProjectLife+1,0,IF(Operations!AA30=0,0,(Operations!AA44*Operations!AA32/1000)))</f>
        <v>0</v>
      </c>
      <c r="AB23" s="267"/>
      <c r="AC23" s="267"/>
      <c r="AD23" s="267"/>
      <c r="AE23" s="267"/>
      <c r="AF23" s="267"/>
      <c r="AG23" s="267"/>
    </row>
    <row r="24" spans="1:33" s="5" customFormat="1" ht="12.6" customHeight="1">
      <c r="A24" s="449" t="s">
        <v>151</v>
      </c>
      <c r="B24" s="453"/>
      <c r="C24" s="676">
        <f>IF(C3&gt;ProjectLife+1,0,IF(Operations!C30=0,0,(VEP)*((1+VEP_ESCAL)^('PPA Assumptions &amp;Summary'!C4-'Project Assumptions'!$N$6))))</f>
        <v>1.2532895261437909</v>
      </c>
      <c r="D24" s="676">
        <f>IF(D3&gt;ProjectLife+1,0,IF(Operations!D30=0,0,(VEP)*((1+VEP_ESCAL)^('PPA Assumptions &amp;Summary'!D4-'Project Assumptions'!$N$6))))</f>
        <v>1.2908882119281047</v>
      </c>
      <c r="E24" s="676">
        <f>IF(E3&gt;ProjectLife+1,0,IF(Operations!E30=0,0,(VEP)*((1+VEP_ESCAL)^('PPA Assumptions &amp;Summary'!E4-'Project Assumptions'!$N$6))))</f>
        <v>1.3296148582859477</v>
      </c>
      <c r="F24" s="676">
        <f>IF(F3&gt;ProjectLife+1,0,IF(Operations!F30=0,0,(VEP)*((1+VEP_ESCAL)^('PPA Assumptions &amp;Summary'!F4-'Project Assumptions'!$N$6))))</f>
        <v>1.3695033040345261</v>
      </c>
      <c r="G24" s="676">
        <f>IF(G3&gt;ProjectLife+1,0,IF(Operations!G30=0,0,(VEP)*((1+VEP_ESCAL)^('PPA Assumptions &amp;Summary'!G4-'Project Assumptions'!$N$6))))</f>
        <v>1.4105884031555618</v>
      </c>
      <c r="H24" s="676">
        <f>IF(H3&gt;ProjectLife+1,0,IF(Operations!H30=0,0,(VEP)*((1+VEP_ESCAL)^('PPA Assumptions &amp;Summary'!H4-'Project Assumptions'!$N$6))))</f>
        <v>1.4529060552502286</v>
      </c>
      <c r="I24" s="676">
        <f>IF(I3&gt;ProjectLife+1,0,IF(Operations!I30=0,0,(VEP)*((1+VEP_ESCAL)^('PPA Assumptions &amp;Summary'!I4-'Project Assumptions'!$N$6))))</f>
        <v>1.4964932369077357</v>
      </c>
      <c r="J24" s="676">
        <f>IF(J3&gt;ProjectLife+1,0,IF(Operations!J30=0,0,(VEP)*((1+VEP_ESCAL)^('PPA Assumptions &amp;Summary'!J4-'Project Assumptions'!$N$6))))</f>
        <v>1.5413880340149675</v>
      </c>
      <c r="K24" s="676">
        <f>IF(K3&gt;ProjectLife+1,0,IF(Operations!K30=0,0,(VEP)*((1+VEP_ESCAL)^('PPA Assumptions &amp;Summary'!K4-'Project Assumptions'!$N$6))))</f>
        <v>1.5876296750354166</v>
      </c>
      <c r="L24" s="676">
        <f>IF(L3&gt;ProjectLife+1,0,IF(Operations!L30=0,0,(VEP)*((1+VEP_ESCAL)^('PPA Assumptions &amp;Summary'!L4-'Project Assumptions'!$N$6))))</f>
        <v>1.6352585652864791</v>
      </c>
      <c r="M24" s="676">
        <f>IF(M3&gt;ProjectLife+1,0,IF(Operations!M30=0,0,(VEP)*((1+VEP_ESCAL)^('PPA Assumptions &amp;Summary'!M4-'Project Assumptions'!$N$6))))</f>
        <v>1.6843163222450734</v>
      </c>
      <c r="N24" s="676">
        <f>IF(N3&gt;ProjectLife+1,0,IF(Operations!N30=0,0,(VEP)*((1+VEP_ESCAL)^('PPA Assumptions &amp;Summary'!N4-'Project Assumptions'!$N$6))))</f>
        <v>1.7348458119124255</v>
      </c>
      <c r="O24" s="676">
        <f>IF(O3&gt;ProjectLife+1,0,IF(Operations!O30=0,0,(VEP)*((1+VEP_ESCAL)^('PPA Assumptions &amp;Summary'!O4-'Project Assumptions'!$N$6))))</f>
        <v>1.7868911862697983</v>
      </c>
      <c r="P24" s="676">
        <f>IF(P3&gt;ProjectLife+1,0,IF(Operations!P30=0,0,(VEP)*((1+VEP_ESCAL)^('PPA Assumptions &amp;Summary'!P4-'Project Assumptions'!$N$6))))</f>
        <v>1.8404979218578923</v>
      </c>
      <c r="Q24" s="676">
        <f>IF(Q3&gt;ProjectLife+1,0,IF(Operations!Q30=0,0,(VEP)*((1+VEP_ESCAL)^('PPA Assumptions &amp;Summary'!Q4-'Project Assumptions'!$N$6))))</f>
        <v>1.8957128595136292</v>
      </c>
      <c r="R24" s="676">
        <f>IF(R3&gt;ProjectLife+1,0,IF(Operations!R30=0,0,(VEP)*((1+VEP_ESCAL)^('PPA Assumptions &amp;Summary'!R4-'Project Assumptions'!$N$6))))</f>
        <v>1.9525842452990376</v>
      </c>
      <c r="S24" s="676">
        <f>IF(S3&gt;ProjectLife+1,0,IF(Operations!S30=0,0,(VEP)*((1+VEP_ESCAL)^('PPA Assumptions &amp;Summary'!S4-'Project Assumptions'!$N$6))))</f>
        <v>2.0111617726580087</v>
      </c>
      <c r="T24" s="676">
        <f>IF(T3&gt;ProjectLife+1,0,IF(Operations!T30=0,0,(VEP)*((1+VEP_ESCAL)^('PPA Assumptions &amp;Summary'!T4-'Project Assumptions'!$N$6))))</f>
        <v>2.071496625837749</v>
      </c>
      <c r="U24" s="676">
        <f>IF(U3&gt;ProjectLife+1,0,IF(Operations!U30=0,0,(VEP)*((1+VEP_ESCAL)^('PPA Assumptions &amp;Summary'!U4-'Project Assumptions'!$N$6))))</f>
        <v>2.1336415246128815</v>
      </c>
      <c r="V24" s="676">
        <f>IF(V3&gt;ProjectLife+1,0,IF(Operations!V30=0,0,(VEP)*((1+VEP_ESCAL)^('PPA Assumptions &amp;Summary'!V4-'Project Assumptions'!$N$6))))</f>
        <v>2.197650770351268</v>
      </c>
      <c r="W24" s="676">
        <f>IF(W3&gt;ProjectLife+1,0,IF(Operations!W30=0,0,(VEP)*((1+VEP_ESCAL)^('PPA Assumptions &amp;Summary'!W4-'Project Assumptions'!$N$6))))</f>
        <v>2.2635802934618057</v>
      </c>
      <c r="X24" s="676">
        <f>IF(X3&gt;ProjectLife+1,0,IF(Operations!X30=0,0,(VEP)*((1+VEP_ESCAL)^('PPA Assumptions &amp;Summary'!X4-'Project Assumptions'!$N$6))))</f>
        <v>0</v>
      </c>
      <c r="Y24" s="676">
        <f>IF(Y3&gt;ProjectLife+1,0,IF(Operations!Y30=0,0,(VEP)*((1+VEP_ESCAL)^('PPA Assumptions &amp;Summary'!Y4-'Project Assumptions'!$N$6))))</f>
        <v>0</v>
      </c>
      <c r="Z24" s="676">
        <f>IF(Z3&gt;ProjectLife+1,0,IF(Operations!Z30=0,0,(VEP)*((1+VEP_ESCAL)^('PPA Assumptions &amp;Summary'!Z4-'Project Assumptions'!$N$6))))</f>
        <v>0</v>
      </c>
      <c r="AA24" s="676">
        <f>IF(AA3&gt;ProjectLife+1,0,IF(Operations!AA30=0,0,(VEP)*((1+VEP_ESCAL)^('PPA Assumptions &amp;Summary'!AA4-'Project Assumptions'!$N$6))))</f>
        <v>0</v>
      </c>
      <c r="AB24" s="267"/>
      <c r="AC24" s="267"/>
      <c r="AD24" s="267"/>
      <c r="AE24" s="267"/>
      <c r="AF24" s="267"/>
      <c r="AG24" s="267"/>
    </row>
    <row r="25" spans="1:33" s="5" customFormat="1" ht="12.6" customHeight="1">
      <c r="A25" s="677" t="s">
        <v>146</v>
      </c>
      <c r="B25" s="442"/>
      <c r="C25" s="678">
        <f t="shared" ref="C25:AA25" si="10">IF(C3&gt;ProjectLife+1,0,SUM(C23:C24))</f>
        <v>28.513289526143794</v>
      </c>
      <c r="D25" s="678">
        <f t="shared" si="10"/>
        <v>28.550888211928108</v>
      </c>
      <c r="E25" s="678">
        <f t="shared" si="10"/>
        <v>28.589614858285948</v>
      </c>
      <c r="F25" s="678">
        <f t="shared" si="10"/>
        <v>28.629503304034529</v>
      </c>
      <c r="G25" s="678">
        <f t="shared" si="10"/>
        <v>28.670588403155563</v>
      </c>
      <c r="H25" s="678">
        <f t="shared" si="10"/>
        <v>28.71290605525023</v>
      </c>
      <c r="I25" s="678">
        <f t="shared" si="10"/>
        <v>28.756493236907737</v>
      </c>
      <c r="J25" s="678">
        <f t="shared" si="10"/>
        <v>28.80138803401497</v>
      </c>
      <c r="K25" s="678">
        <f t="shared" si="10"/>
        <v>28.847629675035417</v>
      </c>
      <c r="L25" s="678">
        <f t="shared" si="10"/>
        <v>28.895258565286479</v>
      </c>
      <c r="M25" s="678">
        <f t="shared" si="10"/>
        <v>28.944316322245076</v>
      </c>
      <c r="N25" s="678">
        <f t="shared" si="10"/>
        <v>28.994845811912427</v>
      </c>
      <c r="O25" s="678">
        <f t="shared" si="10"/>
        <v>29.0468911862698</v>
      </c>
      <c r="P25" s="678">
        <f t="shared" si="10"/>
        <v>29.100497921857894</v>
      </c>
      <c r="Q25" s="678">
        <f t="shared" si="10"/>
        <v>29.155712859513631</v>
      </c>
      <c r="R25" s="678">
        <f t="shared" si="10"/>
        <v>29.212584245299038</v>
      </c>
      <c r="S25" s="678">
        <f t="shared" si="10"/>
        <v>29.271161772658012</v>
      </c>
      <c r="T25" s="678">
        <f t="shared" si="10"/>
        <v>29.331496625837751</v>
      </c>
      <c r="U25" s="678">
        <f t="shared" si="10"/>
        <v>29.393641524612882</v>
      </c>
      <c r="V25" s="678">
        <f t="shared" si="10"/>
        <v>29.457650770351268</v>
      </c>
      <c r="W25" s="678">
        <f t="shared" si="10"/>
        <v>29.523580293461809</v>
      </c>
      <c r="X25" s="678">
        <f t="shared" si="10"/>
        <v>0</v>
      </c>
      <c r="Y25" s="678">
        <f t="shared" si="10"/>
        <v>0</v>
      </c>
      <c r="Z25" s="678">
        <f t="shared" si="10"/>
        <v>0</v>
      </c>
      <c r="AA25" s="679">
        <f t="shared" si="10"/>
        <v>0</v>
      </c>
      <c r="AB25" s="267"/>
      <c r="AC25" s="267"/>
      <c r="AD25" s="267"/>
      <c r="AE25" s="267"/>
      <c r="AF25" s="267"/>
      <c r="AG25" s="267"/>
    </row>
    <row r="26" spans="1:33" s="5" customFormat="1" ht="12.6" customHeight="1">
      <c r="A26" s="421"/>
      <c r="B26" s="267"/>
      <c r="C26" s="680"/>
      <c r="D26" s="680"/>
      <c r="E26" s="680"/>
      <c r="F26" s="680"/>
      <c r="G26" s="680"/>
      <c r="H26" s="680"/>
      <c r="I26" s="680"/>
      <c r="J26" s="680"/>
      <c r="K26" s="680"/>
      <c r="L26" s="680"/>
      <c r="M26" s="680"/>
      <c r="N26" s="680"/>
      <c r="O26" s="680"/>
      <c r="P26" s="680"/>
      <c r="Q26" s="680"/>
      <c r="R26" s="680"/>
      <c r="S26" s="680"/>
      <c r="T26" s="680"/>
      <c r="U26" s="680"/>
      <c r="V26" s="680"/>
      <c r="W26" s="680"/>
      <c r="X26" s="680"/>
      <c r="Y26" s="680"/>
      <c r="Z26" s="680"/>
      <c r="AA26" s="680"/>
      <c r="AB26" s="267"/>
      <c r="AC26" s="267"/>
      <c r="AD26" s="267"/>
      <c r="AE26" s="267"/>
      <c r="AF26" s="267"/>
      <c r="AG26" s="267"/>
    </row>
    <row r="27" spans="1:33" s="45" customFormat="1" ht="15.75">
      <c r="A27" s="681" t="s">
        <v>166</v>
      </c>
      <c r="B27" s="682"/>
      <c r="C27" s="682"/>
      <c r="D27" s="682"/>
      <c r="E27" s="682"/>
      <c r="F27" s="682"/>
      <c r="G27" s="682"/>
      <c r="H27" s="682"/>
      <c r="I27" s="682"/>
      <c r="J27" s="682"/>
      <c r="K27" s="682"/>
      <c r="L27" s="682"/>
      <c r="M27" s="682"/>
      <c r="N27" s="682"/>
      <c r="O27" s="682"/>
      <c r="P27" s="682"/>
      <c r="Q27" s="682"/>
      <c r="R27" s="682"/>
      <c r="S27" s="682"/>
      <c r="T27" s="682"/>
      <c r="U27" s="682"/>
      <c r="V27" s="682"/>
      <c r="W27" s="682"/>
      <c r="X27" s="682"/>
      <c r="Y27" s="682"/>
      <c r="Z27" s="682"/>
      <c r="AA27" s="683"/>
      <c r="AB27" s="253"/>
      <c r="AC27" s="253"/>
      <c r="AD27" s="253"/>
      <c r="AE27" s="253"/>
      <c r="AF27" s="253"/>
      <c r="AG27" s="253"/>
    </row>
    <row r="28" spans="1:33" s="45" customFormat="1" ht="11.25">
      <c r="A28" s="523" t="s">
        <v>488</v>
      </c>
      <c r="B28" s="301" t="s">
        <v>366</v>
      </c>
      <c r="C28" s="301"/>
      <c r="D28" s="301"/>
      <c r="E28" s="301"/>
      <c r="F28" s="301"/>
      <c r="G28" s="301"/>
      <c r="H28" s="301"/>
      <c r="I28" s="301"/>
      <c r="J28" s="301"/>
      <c r="K28" s="301"/>
      <c r="L28" s="301"/>
      <c r="M28" s="301"/>
      <c r="N28" s="301"/>
      <c r="O28" s="301"/>
      <c r="P28" s="301"/>
      <c r="Q28" s="301"/>
      <c r="R28" s="301"/>
      <c r="S28" s="301"/>
      <c r="T28" s="301"/>
      <c r="U28" s="301"/>
      <c r="V28" s="301"/>
      <c r="W28" s="301"/>
      <c r="X28" s="301"/>
      <c r="Y28" s="301"/>
      <c r="Z28" s="301"/>
      <c r="AA28" s="684"/>
      <c r="AB28" s="253"/>
      <c r="AC28" s="253"/>
      <c r="AD28" s="253"/>
      <c r="AE28" s="253"/>
      <c r="AF28" s="253"/>
      <c r="AG28" s="253"/>
    </row>
    <row r="29" spans="1:33">
      <c r="A29" s="511" t="s">
        <v>541</v>
      </c>
      <c r="B29" s="685">
        <f t="shared" ref="B29:B34" si="11">AVERAGE(C29:V29)</f>
        <v>1056.3027815727166</v>
      </c>
      <c r="C29" s="454">
        <f>'Book Income Statement'!D28</f>
        <v>767.01319000000012</v>
      </c>
      <c r="D29" s="454">
        <f>'Book Income Statement'!E28</f>
        <v>790.02358570000001</v>
      </c>
      <c r="E29" s="454">
        <f>'Book Income Statement'!F28</f>
        <v>813.72429327100008</v>
      </c>
      <c r="F29" s="454">
        <f>'Book Income Statement'!G28</f>
        <v>856.31745435076652</v>
      </c>
      <c r="G29" s="454">
        <f>'Book Income Statement'!H28</f>
        <v>887.98345531798645</v>
      </c>
      <c r="H29" s="454">
        <f>'Book Income Statement'!I28</f>
        <v>914.62295897752608</v>
      </c>
      <c r="I29" s="454">
        <f>'Book Income Statement'!J28</f>
        <v>942.06164774685192</v>
      </c>
      <c r="J29" s="454">
        <f>'Book Income Statement'!K28</f>
        <v>970.3234971792574</v>
      </c>
      <c r="K29" s="454">
        <f>'Book Income Statement'!L28</f>
        <v>999.43320209463513</v>
      </c>
      <c r="L29" s="454">
        <f>'Book Income Statement'!M28</f>
        <v>1029.4161981574741</v>
      </c>
      <c r="M29" s="454">
        <f>'Book Income Statement'!N28</f>
        <v>1060.2986841021984</v>
      </c>
      <c r="N29" s="454">
        <f>'Book Income Statement'!O28</f>
        <v>1092.1076446252641</v>
      </c>
      <c r="O29" s="454">
        <f>'Book Income Statement'!P28</f>
        <v>1124.8708739640222</v>
      </c>
      <c r="P29" s="454">
        <f>'Book Income Statement'!Q28</f>
        <v>1158.6170001829428</v>
      </c>
      <c r="Q29" s="454">
        <f>'Book Income Statement'!R28</f>
        <v>1193.3755101884312</v>
      </c>
      <c r="R29" s="454">
        <f>'Book Income Statement'!S28</f>
        <v>1229.176775494084</v>
      </c>
      <c r="S29" s="454">
        <f>'Book Income Statement'!T28</f>
        <v>1266.0520787589064</v>
      </c>
      <c r="T29" s="454">
        <f>'Book Income Statement'!U28</f>
        <v>1304.0336411216736</v>
      </c>
      <c r="U29" s="454">
        <f>'Book Income Statement'!V28</f>
        <v>1343.1546503553238</v>
      </c>
      <c r="V29" s="454">
        <f>'Book Income Statement'!W28</f>
        <v>1383.4492898659835</v>
      </c>
      <c r="W29" s="454">
        <f>'Book Income Statement'!X28</f>
        <v>1424.9527685619628</v>
      </c>
      <c r="X29" s="454">
        <f>'Book Income Statement'!Y28</f>
        <v>0</v>
      </c>
      <c r="Y29" s="454">
        <f>'Book Income Statement'!Z28</f>
        <v>0</v>
      </c>
      <c r="Z29" s="454">
        <f>'Book Income Statement'!AA28</f>
        <v>0</v>
      </c>
      <c r="AA29" s="455"/>
    </row>
    <row r="30" spans="1:33">
      <c r="A30" s="511" t="s">
        <v>540</v>
      </c>
      <c r="B30" s="686">
        <f t="shared" si="11"/>
        <v>3177.8694437609256</v>
      </c>
      <c r="C30" s="454">
        <f>'Book Income Statement'!D34</f>
        <v>2365.3332</v>
      </c>
      <c r="D30" s="454">
        <f>'Book Income Statement'!E34</f>
        <v>2436.2931960000001</v>
      </c>
      <c r="E30" s="454">
        <f>'Book Income Statement'!F34</f>
        <v>2509.38199188</v>
      </c>
      <c r="F30" s="454">
        <f>'Book Income Statement'!G34</f>
        <v>2584.6634516363997</v>
      </c>
      <c r="G30" s="454">
        <f>'Book Income Statement'!H34</f>
        <v>2662.2033551854915</v>
      </c>
      <c r="H30" s="454">
        <f>'Book Income Statement'!I34</f>
        <v>2742.0694558410564</v>
      </c>
      <c r="I30" s="454">
        <f>'Book Income Statement'!J34</f>
        <v>2824.3315395162881</v>
      </c>
      <c r="J30" s="454">
        <f>'Book Income Statement'!K34</f>
        <v>2909.0614857017767</v>
      </c>
      <c r="K30" s="454">
        <f>'Book Income Statement'!L34</f>
        <v>2996.3333302728302</v>
      </c>
      <c r="L30" s="454">
        <f>'Book Income Statement'!M34</f>
        <v>3086.2233301810152</v>
      </c>
      <c r="M30" s="454">
        <f>'Book Income Statement'!N34</f>
        <v>3178.8100300864457</v>
      </c>
      <c r="N30" s="454">
        <f>'Book Income Statement'!O34</f>
        <v>3274.1743309890385</v>
      </c>
      <c r="O30" s="454">
        <f>'Book Income Statement'!P34</f>
        <v>3372.3995609187091</v>
      </c>
      <c r="P30" s="454">
        <f>'Book Income Statement'!Q34</f>
        <v>3473.5715477462709</v>
      </c>
      <c r="Q30" s="454">
        <f>'Book Income Statement'!R34</f>
        <v>3577.7786941786594</v>
      </c>
      <c r="R30" s="454">
        <f>'Book Income Statement'!S34</f>
        <v>3685.1120550040182</v>
      </c>
      <c r="S30" s="454">
        <f>'Book Income Statement'!T34</f>
        <v>3795.6654166541393</v>
      </c>
      <c r="T30" s="454">
        <f>'Book Income Statement'!U34</f>
        <v>3909.5353791537632</v>
      </c>
      <c r="U30" s="454">
        <f>'Book Income Statement'!V34</f>
        <v>4026.8214405283761</v>
      </c>
      <c r="V30" s="454">
        <f>'Book Income Statement'!W34</f>
        <v>4147.6260837442278</v>
      </c>
      <c r="W30" s="454">
        <f>'Book Income Statement'!X34</f>
        <v>4272.0548662565534</v>
      </c>
      <c r="X30" s="454">
        <f>'Book Income Statement'!Y34</f>
        <v>0</v>
      </c>
      <c r="Y30" s="454">
        <f>'Book Income Statement'!Z34</f>
        <v>0</v>
      </c>
      <c r="Z30" s="454">
        <f>'Book Income Statement'!AA34</f>
        <v>0</v>
      </c>
      <c r="AA30" s="455"/>
    </row>
    <row r="31" spans="1:33">
      <c r="A31" s="511" t="s">
        <v>542</v>
      </c>
      <c r="B31" s="686">
        <f t="shared" si="11"/>
        <v>3312.9677445389621</v>
      </c>
      <c r="C31" s="454">
        <f>'Book Income Statement'!D42+'Book Income Statement'!D51</f>
        <v>1283.0619117647061</v>
      </c>
      <c r="D31" s="454">
        <f>'Book Income Statement'!E42+'Book Income Statement'!E51</f>
        <v>2212.4757470588229</v>
      </c>
      <c r="E31" s="454">
        <f>'Book Income Statement'!F42+'Book Income Statement'!F51</f>
        <v>2278.850019470588</v>
      </c>
      <c r="F31" s="454">
        <f>'Book Income Statement'!G42+'Book Income Statement'!G51</f>
        <v>2604.2665800547056</v>
      </c>
      <c r="G31" s="454">
        <f>'Book Income Statement'!H42+'Book Income Statement'!H51</f>
        <v>2871.5107144563472</v>
      </c>
      <c r="H31" s="454">
        <f>'Book Income Statement'!I42+'Book Income Statement'!I51</f>
        <v>2957.6560358900369</v>
      </c>
      <c r="I31" s="454">
        <f>'Book Income Statement'!J42+'Book Income Statement'!J51</f>
        <v>3046.3857169667385</v>
      </c>
      <c r="J31" s="454">
        <f>'Book Income Statement'!K42+'Book Income Statement'!K51</f>
        <v>3137.7772884757405</v>
      </c>
      <c r="K31" s="454">
        <f>'Book Income Statement'!L42+'Book Income Statement'!L51</f>
        <v>3231.910607130013</v>
      </c>
      <c r="L31" s="454">
        <f>'Book Income Statement'!M42+'Book Income Statement'!M51</f>
        <v>3328.8679253439132</v>
      </c>
      <c r="M31" s="454">
        <f>'Book Income Statement'!N42+'Book Income Statement'!N51</f>
        <v>3428.7339631042305</v>
      </c>
      <c r="N31" s="454">
        <f>'Book Income Statement'!O42+'Book Income Statement'!O51</f>
        <v>3531.5959819973573</v>
      </c>
      <c r="O31" s="454">
        <f>'Book Income Statement'!P42+'Book Income Statement'!P51</f>
        <v>3637.5438614572777</v>
      </c>
      <c r="P31" s="454">
        <f>'Book Income Statement'!Q42+'Book Income Statement'!Q51</f>
        <v>3746.6701773009963</v>
      </c>
      <c r="Q31" s="454">
        <f>'Book Income Statement'!R42+'Book Income Statement'!R51</f>
        <v>3859.0702826200263</v>
      </c>
      <c r="R31" s="454">
        <f>'Book Income Statement'!S42+'Book Income Statement'!S51</f>
        <v>3974.8423910986266</v>
      </c>
      <c r="S31" s="454">
        <f>'Book Income Statement'!T42+'Book Income Statement'!T51</f>
        <v>4094.0876628315855</v>
      </c>
      <c r="T31" s="454">
        <f>'Book Income Statement'!U42+'Book Income Statement'!U51</f>
        <v>4216.9102927165331</v>
      </c>
      <c r="U31" s="454">
        <f>'Book Income Statement'!V42+'Book Income Statement'!V51</f>
        <v>4343.4176014980294</v>
      </c>
      <c r="V31" s="454">
        <f>'Book Income Statement'!W42+'Book Income Statement'!W51</f>
        <v>4473.7201295429695</v>
      </c>
      <c r="W31" s="454">
        <f>'Book Income Statement'!X42+'Book Income Statement'!X51</f>
        <v>1995.9335839403288</v>
      </c>
      <c r="X31" s="454">
        <f>'Book Income Statement'!Y42+'Book Income Statement'!Y51</f>
        <v>0</v>
      </c>
      <c r="Y31" s="454">
        <f>'Book Income Statement'!Z42+'Book Income Statement'!Z51</f>
        <v>0</v>
      </c>
      <c r="Z31" s="454">
        <f>'Book Income Statement'!AA42+'Book Income Statement'!AA51</f>
        <v>0</v>
      </c>
      <c r="AA31" s="455"/>
    </row>
    <row r="32" spans="1:33">
      <c r="A32" s="511" t="s">
        <v>543</v>
      </c>
      <c r="B32" s="686">
        <f t="shared" si="11"/>
        <v>245.60635648000002</v>
      </c>
      <c r="C32" s="454">
        <f>'Book Income Statement'!D53</f>
        <v>245.60635648000002</v>
      </c>
      <c r="D32" s="454">
        <f>'Book Income Statement'!E53</f>
        <v>245.60635648000002</v>
      </c>
      <c r="E32" s="454">
        <f>'Book Income Statement'!F53</f>
        <v>245.60635648000002</v>
      </c>
      <c r="F32" s="454">
        <f>'Book Income Statement'!G53</f>
        <v>245.60635648000002</v>
      </c>
      <c r="G32" s="454">
        <f>'Book Income Statement'!H53</f>
        <v>245.60635648000002</v>
      </c>
      <c r="H32" s="454">
        <f>'Book Income Statement'!I53</f>
        <v>245.60635648000002</v>
      </c>
      <c r="I32" s="454">
        <f>'Book Income Statement'!J53</f>
        <v>245.60635648000002</v>
      </c>
      <c r="J32" s="454">
        <f>'Book Income Statement'!K53</f>
        <v>245.60635648000002</v>
      </c>
      <c r="K32" s="454">
        <f>'Book Income Statement'!L53</f>
        <v>245.60635648000002</v>
      </c>
      <c r="L32" s="454">
        <f>'Book Income Statement'!M53</f>
        <v>245.60635648000002</v>
      </c>
      <c r="M32" s="454">
        <f>'Book Income Statement'!N53</f>
        <v>245.60635648000002</v>
      </c>
      <c r="N32" s="454">
        <f>'Book Income Statement'!O53</f>
        <v>245.60635648000002</v>
      </c>
      <c r="O32" s="454">
        <f>'Book Income Statement'!P53</f>
        <v>245.60635648000002</v>
      </c>
      <c r="P32" s="454">
        <f>'Book Income Statement'!Q53</f>
        <v>245.60635648000002</v>
      </c>
      <c r="Q32" s="454">
        <f>'Book Income Statement'!R53</f>
        <v>245.60635648000002</v>
      </c>
      <c r="R32" s="454">
        <f>'Book Income Statement'!S53</f>
        <v>245.60635648000002</v>
      </c>
      <c r="S32" s="454">
        <f>'Book Income Statement'!T53</f>
        <v>245.60635648000002</v>
      </c>
      <c r="T32" s="454">
        <f>'Book Income Statement'!U53</f>
        <v>245.60635648000002</v>
      </c>
      <c r="U32" s="454">
        <f>'Book Income Statement'!V53</f>
        <v>245.60635648000002</v>
      </c>
      <c r="V32" s="454">
        <f>'Book Income Statement'!W53</f>
        <v>245.60635648000002</v>
      </c>
      <c r="W32" s="454">
        <f>'Book Income Statement'!X53</f>
        <v>245.60635648000002</v>
      </c>
      <c r="X32" s="454">
        <f>'Book Income Statement'!Y53</f>
        <v>0</v>
      </c>
      <c r="Y32" s="454">
        <f>'Book Income Statement'!Z53</f>
        <v>0</v>
      </c>
      <c r="Z32" s="454">
        <f>'Book Income Statement'!AA53</f>
        <v>0</v>
      </c>
      <c r="AA32" s="455"/>
    </row>
    <row r="33" spans="1:33">
      <c r="A33" s="511" t="s">
        <v>484</v>
      </c>
      <c r="B33" s="686">
        <f t="shared" si="11"/>
        <v>0</v>
      </c>
      <c r="C33" s="454">
        <f>'Book Income Statement'!D58</f>
        <v>0</v>
      </c>
      <c r="D33" s="454">
        <f>'Book Income Statement'!E58</f>
        <v>0</v>
      </c>
      <c r="E33" s="454">
        <f>'Book Income Statement'!F58</f>
        <v>0</v>
      </c>
      <c r="F33" s="454">
        <f>'Book Income Statement'!G58</f>
        <v>0</v>
      </c>
      <c r="G33" s="454">
        <f>'Book Income Statement'!H58</f>
        <v>0</v>
      </c>
      <c r="H33" s="454">
        <f>'Book Income Statement'!I58</f>
        <v>0</v>
      </c>
      <c r="I33" s="454">
        <f>'Book Income Statement'!J58</f>
        <v>0</v>
      </c>
      <c r="J33" s="454">
        <f>'Book Income Statement'!K58</f>
        <v>0</v>
      </c>
      <c r="K33" s="454">
        <f>'Book Income Statement'!L58</f>
        <v>0</v>
      </c>
      <c r="L33" s="454">
        <f>'Book Income Statement'!M58</f>
        <v>0</v>
      </c>
      <c r="M33" s="454">
        <f>'Book Income Statement'!N58</f>
        <v>0</v>
      </c>
      <c r="N33" s="454">
        <f>'Book Income Statement'!O58</f>
        <v>0</v>
      </c>
      <c r="O33" s="454">
        <f>'Book Income Statement'!P58</f>
        <v>0</v>
      </c>
      <c r="P33" s="454">
        <f>'Book Income Statement'!Q58</f>
        <v>0</v>
      </c>
      <c r="Q33" s="454">
        <f>'Book Income Statement'!R58</f>
        <v>0</v>
      </c>
      <c r="R33" s="454">
        <f>'Book Income Statement'!S58</f>
        <v>0</v>
      </c>
      <c r="S33" s="454">
        <f>'Book Income Statement'!T58</f>
        <v>0</v>
      </c>
      <c r="T33" s="454">
        <f>'Book Income Statement'!U58</f>
        <v>0</v>
      </c>
      <c r="U33" s="454">
        <f>'Book Income Statement'!V58</f>
        <v>0</v>
      </c>
      <c r="V33" s="454">
        <f>'Book Income Statement'!W58</f>
        <v>0</v>
      </c>
      <c r="W33" s="454">
        <f>'Book Income Statement'!X58</f>
        <v>0</v>
      </c>
      <c r="X33" s="454">
        <f>'Book Income Statement'!Y58</f>
        <v>0</v>
      </c>
      <c r="Y33" s="454">
        <f>'Book Income Statement'!Z58</f>
        <v>0</v>
      </c>
      <c r="Z33" s="454">
        <f>'Book Income Statement'!AA58</f>
        <v>0</v>
      </c>
      <c r="AA33" s="455"/>
    </row>
    <row r="34" spans="1:33">
      <c r="A34" s="511" t="s">
        <v>155</v>
      </c>
      <c r="B34" s="687">
        <f t="shared" si="11"/>
        <v>12266.226377328992</v>
      </c>
      <c r="C34" s="895">
        <f>'Returns Summary'!C23</f>
        <v>15384.892950566998</v>
      </c>
      <c r="D34" s="895">
        <f>'Returns Summary'!D23</f>
        <v>15033.102246251998</v>
      </c>
      <c r="E34" s="895">
        <f>'Returns Summary'!E23</f>
        <v>16642.969744436996</v>
      </c>
      <c r="F34" s="895">
        <f>'Returns Summary'!F23</f>
        <v>18104.339716692746</v>
      </c>
      <c r="G34" s="895">
        <f>'Returns Summary'!G23</f>
        <v>13636.859326319249</v>
      </c>
      <c r="H34" s="895">
        <f>'Returns Summary'!H23</f>
        <v>13224.330452966307</v>
      </c>
      <c r="I34" s="895">
        <f>'Returns Summary'!I23</f>
        <v>13517.998532513369</v>
      </c>
      <c r="J34" s="895">
        <f>'Returns Summary'!J23</f>
        <v>13047.702748413209</v>
      </c>
      <c r="K34" s="895">
        <f>'Returns Summary'!K23</f>
        <v>16500.723369313047</v>
      </c>
      <c r="L34" s="895">
        <f>'Returns Summary'!L23</f>
        <v>18401.287688754386</v>
      </c>
      <c r="M34" s="895">
        <f>'Returns Summary'!M23</f>
        <v>7619.4414036192593</v>
      </c>
      <c r="N34" s="895">
        <f>'Returns Summary'!N23</f>
        <v>8094.5707135303783</v>
      </c>
      <c r="O34" s="895">
        <f>'Returns Summary'!O23</f>
        <v>7805.73615979428</v>
      </c>
      <c r="P34" s="895">
        <f>'Returns Summary'!P23</f>
        <v>7516.9016060581798</v>
      </c>
      <c r="Q34" s="895">
        <f>'Returns Summary'!Q23</f>
        <v>7228.0670523220797</v>
      </c>
      <c r="R34" s="895">
        <f>'Returns Summary'!R23</f>
        <v>6939.2324985859796</v>
      </c>
      <c r="S34" s="895">
        <f>'Returns Summary'!S23</f>
        <v>10181.38270934988</v>
      </c>
      <c r="T34" s="895">
        <f>'Returns Summary'!T23</f>
        <v>11016.107507677678</v>
      </c>
      <c r="U34" s="895">
        <f>'Returns Summary'!U23</f>
        <v>12441.495437411038</v>
      </c>
      <c r="V34" s="895">
        <f>'Returns Summary'!V23</f>
        <v>12987.385682002739</v>
      </c>
      <c r="W34" s="895">
        <f>'Returns Summary'!W23</f>
        <v>1.3391399988904595E-12</v>
      </c>
      <c r="X34" s="895">
        <f>'Returns Summary'!X23</f>
        <v>1.3391399988904595E-12</v>
      </c>
      <c r="Y34" s="895">
        <f>'Returns Summary'!Y23</f>
        <v>1.3391399988904595E-12</v>
      </c>
      <c r="Z34" s="895">
        <f>'Returns Summary'!Z23</f>
        <v>1.3391399988904595E-12</v>
      </c>
      <c r="AA34" s="455"/>
    </row>
    <row r="35" spans="1:33">
      <c r="A35" s="511" t="s">
        <v>156</v>
      </c>
      <c r="B35" s="148"/>
      <c r="C35" s="454">
        <f t="shared" ref="C35:V35" si="12">SUM(C29:C34)</f>
        <v>20045.907608811704</v>
      </c>
      <c r="D35" s="454">
        <f t="shared" si="12"/>
        <v>20717.501131490819</v>
      </c>
      <c r="E35" s="454">
        <f t="shared" si="12"/>
        <v>22490.532405538583</v>
      </c>
      <c r="F35" s="454">
        <f t="shared" si="12"/>
        <v>24395.193559214618</v>
      </c>
      <c r="G35" s="454">
        <f t="shared" si="12"/>
        <v>20304.163207759073</v>
      </c>
      <c r="H35" s="454">
        <f t="shared" si="12"/>
        <v>20084.285260154928</v>
      </c>
      <c r="I35" s="454">
        <f t="shared" si="12"/>
        <v>20576.383793223249</v>
      </c>
      <c r="J35" s="454">
        <f t="shared" si="12"/>
        <v>20310.471376249981</v>
      </c>
      <c r="K35" s="454">
        <f t="shared" si="12"/>
        <v>23974.006865290525</v>
      </c>
      <c r="L35" s="454">
        <f t="shared" si="12"/>
        <v>26091.401498916788</v>
      </c>
      <c r="M35" s="454">
        <f t="shared" si="12"/>
        <v>15532.890437392132</v>
      </c>
      <c r="N35" s="454">
        <f t="shared" si="12"/>
        <v>16238.055027622038</v>
      </c>
      <c r="O35" s="454">
        <f t="shared" si="12"/>
        <v>16186.156812614288</v>
      </c>
      <c r="P35" s="454">
        <f t="shared" si="12"/>
        <v>16141.36668776839</v>
      </c>
      <c r="Q35" s="454">
        <f t="shared" si="12"/>
        <v>16103.897895789198</v>
      </c>
      <c r="R35" s="454">
        <f t="shared" si="12"/>
        <v>16073.97007666271</v>
      </c>
      <c r="S35" s="454">
        <f t="shared" si="12"/>
        <v>19582.794224074511</v>
      </c>
      <c r="T35" s="454">
        <f t="shared" si="12"/>
        <v>20692.193177149649</v>
      </c>
      <c r="U35" s="454">
        <f t="shared" si="12"/>
        <v>22400.495486272768</v>
      </c>
      <c r="V35" s="454">
        <f t="shared" si="12"/>
        <v>23237.787541635924</v>
      </c>
      <c r="W35" s="454">
        <f>SUM(W29:W34)</f>
        <v>7938.5475752388447</v>
      </c>
      <c r="X35" s="454">
        <f>SUM(X29:X34)</f>
        <v>1.3391399988904595E-12</v>
      </c>
      <c r="Y35" s="454">
        <f>SUM(Y29:Y34)</f>
        <v>1.3391399988904595E-12</v>
      </c>
      <c r="Z35" s="454">
        <f>SUM(Z29:Z34)</f>
        <v>1.3391399988904595E-12</v>
      </c>
      <c r="AA35" s="455"/>
    </row>
    <row r="36" spans="1:33">
      <c r="A36" s="511"/>
      <c r="B36" s="148"/>
      <c r="C36" s="454"/>
      <c r="D36" s="454"/>
      <c r="E36" s="454"/>
      <c r="F36" s="454"/>
      <c r="G36" s="454"/>
      <c r="H36" s="454"/>
      <c r="I36" s="454"/>
      <c r="J36" s="454"/>
      <c r="K36" s="454"/>
      <c r="L36" s="454"/>
      <c r="M36" s="454"/>
      <c r="N36" s="454"/>
      <c r="O36" s="454"/>
      <c r="P36" s="454"/>
      <c r="Q36" s="454"/>
      <c r="R36" s="454"/>
      <c r="S36" s="454"/>
      <c r="T36" s="454"/>
      <c r="U36" s="454"/>
      <c r="V36" s="454"/>
      <c r="W36" s="454"/>
      <c r="X36" s="454"/>
      <c r="Y36" s="454"/>
      <c r="Z36" s="454"/>
      <c r="AA36" s="455"/>
    </row>
    <row r="37" spans="1:33">
      <c r="A37" s="688" t="s">
        <v>367</v>
      </c>
      <c r="B37" s="301" t="s">
        <v>366</v>
      </c>
      <c r="C37" s="450"/>
      <c r="D37" s="450"/>
      <c r="E37" s="450"/>
      <c r="F37" s="450"/>
      <c r="G37" s="450"/>
      <c r="H37" s="450"/>
      <c r="I37" s="450"/>
      <c r="J37" s="450"/>
      <c r="K37" s="450"/>
      <c r="L37" s="450"/>
      <c r="M37" s="450"/>
      <c r="N37" s="450"/>
      <c r="O37" s="450"/>
      <c r="P37" s="450"/>
      <c r="Q37" s="450"/>
      <c r="R37" s="450"/>
      <c r="S37" s="450"/>
      <c r="T37" s="450"/>
      <c r="U37" s="450"/>
      <c r="V37" s="450"/>
      <c r="W37" s="450"/>
      <c r="X37" s="450"/>
      <c r="Y37" s="450"/>
      <c r="Z37" s="450"/>
      <c r="AA37" s="455"/>
    </row>
    <row r="38" spans="1:33">
      <c r="A38" s="511" t="s">
        <v>544</v>
      </c>
      <c r="B38" s="685">
        <f>AVERAGE(C38:V38)</f>
        <v>1939.2878642939309</v>
      </c>
      <c r="C38" s="450">
        <f>'Book Income Statement'!D38+'Book Income Statement'!D37+'Book Income Statement'!D41+'Book Income Statement'!D39</f>
        <v>855.2685784313727</v>
      </c>
      <c r="D38" s="450">
        <f>'Book Income Statement'!E38+'Book Income Statement'!E37+'Book Income Statement'!E41+'Book Income Statement'!E39</f>
        <v>1510.1599470588233</v>
      </c>
      <c r="E38" s="450">
        <f>'Book Income Statement'!F38+'Book Income Statement'!F37+'Book Income Statement'!F41+'Book Income Statement'!F39</f>
        <v>1555.464745470588</v>
      </c>
      <c r="F38" s="450">
        <f>'Book Income Statement'!G38+'Book Income Statement'!G37+'Book Income Statement'!G41+'Book Income Statement'!G39</f>
        <v>1602.1286878347055</v>
      </c>
      <c r="G38" s="450">
        <f>'Book Income Statement'!H38+'Book Income Statement'!H37+'Book Income Statement'!H41+'Book Income Statement'!H39</f>
        <v>1650.1925484697467</v>
      </c>
      <c r="H38" s="450">
        <f>'Book Income Statement'!I38+'Book Income Statement'!I37+'Book Income Statement'!I41+'Book Income Statement'!I39</f>
        <v>1699.6983249238394</v>
      </c>
      <c r="I38" s="450">
        <f>'Book Income Statement'!J38+'Book Income Statement'!J37+'Book Income Statement'!J41+'Book Income Statement'!J39</f>
        <v>1750.6892746715546</v>
      </c>
      <c r="J38" s="450">
        <f>'Book Income Statement'!K38+'Book Income Statement'!K37+'Book Income Statement'!K41+'Book Income Statement'!K39</f>
        <v>1803.2099529117013</v>
      </c>
      <c r="K38" s="450">
        <f>'Book Income Statement'!L38+'Book Income Statement'!L37+'Book Income Statement'!L41+'Book Income Statement'!L39</f>
        <v>1857.3062514990522</v>
      </c>
      <c r="L38" s="450">
        <f>'Book Income Statement'!M38+'Book Income Statement'!M37+'Book Income Statement'!M41+'Book Income Statement'!M39</f>
        <v>1913.0254390440239</v>
      </c>
      <c r="M38" s="450">
        <f>'Book Income Statement'!N38+'Book Income Statement'!N37+'Book Income Statement'!N41+'Book Income Statement'!N39</f>
        <v>1970.4162022153444</v>
      </c>
      <c r="N38" s="450">
        <f>'Book Income Statement'!O38+'Book Income Statement'!O37+'Book Income Statement'!O41+'Book Income Statement'!O39</f>
        <v>2029.5286882818045</v>
      </c>
      <c r="O38" s="450">
        <f>'Book Income Statement'!P38+'Book Income Statement'!P37+'Book Income Statement'!P41+'Book Income Statement'!P39</f>
        <v>2090.4145489302587</v>
      </c>
      <c r="P38" s="450">
        <f>'Book Income Statement'!Q38+'Book Income Statement'!Q37+'Book Income Statement'!Q41+'Book Income Statement'!Q39</f>
        <v>2153.1269853981667</v>
      </c>
      <c r="Q38" s="450">
        <f>'Book Income Statement'!R38+'Book Income Statement'!R37+'Book Income Statement'!R41+'Book Income Statement'!R39</f>
        <v>2217.7207949601116</v>
      </c>
      <c r="R38" s="450">
        <f>'Book Income Statement'!S38+'Book Income Statement'!S37+'Book Income Statement'!S41+'Book Income Statement'!S39</f>
        <v>2284.2524188089146</v>
      </c>
      <c r="S38" s="450">
        <f>'Book Income Statement'!T38+'Book Income Statement'!T37+'Book Income Statement'!T41+'Book Income Statement'!T39</f>
        <v>2352.7799913731824</v>
      </c>
      <c r="T38" s="450">
        <f>'Book Income Statement'!U38+'Book Income Statement'!U37+'Book Income Statement'!U41+'Book Income Statement'!U39</f>
        <v>2423.3633911143775</v>
      </c>
      <c r="U38" s="450">
        <f>'Book Income Statement'!V38+'Book Income Statement'!V37+'Book Income Statement'!V41+'Book Income Statement'!V39</f>
        <v>2496.0642928478092</v>
      </c>
      <c r="V38" s="450">
        <f>'Book Income Statement'!W38+'Book Income Statement'!W37+'Book Income Statement'!W41+'Book Income Statement'!W39</f>
        <v>2570.9462216332431</v>
      </c>
      <c r="W38" s="450">
        <f>'Book Income Statement'!X38+'Book Income Statement'!X37+'Book Income Statement'!X41+'Book Income Statement'!X39</f>
        <v>1103.3644201176</v>
      </c>
      <c r="X38" s="450">
        <f>'Book Income Statement'!Y38+'Book Income Statement'!Y37+'Book Income Statement'!Y41+'Book Income Statement'!Y39</f>
        <v>0</v>
      </c>
      <c r="Y38" s="450">
        <f>'Book Income Statement'!Z38+'Book Income Statement'!Z37+'Book Income Statement'!Z41+'Book Income Statement'!Z39</f>
        <v>0</v>
      </c>
      <c r="Z38" s="450">
        <f>'Book Income Statement'!AA38+'Book Income Statement'!AA37+'Book Income Statement'!AA41+'Book Income Statement'!AA39</f>
        <v>0</v>
      </c>
      <c r="AA38" s="455"/>
    </row>
    <row r="39" spans="1:33">
      <c r="A39" s="511" t="s">
        <v>368</v>
      </c>
      <c r="B39" s="687">
        <f>AVERAGE(C39:V39)</f>
        <v>903.38834411947732</v>
      </c>
      <c r="C39" s="450">
        <f>SUM('Book Income Statement'!D45:D50)</f>
        <v>427.79333333333329</v>
      </c>
      <c r="D39" s="450">
        <f>SUM('Book Income Statement'!E45:E50)</f>
        <v>702.31579999999997</v>
      </c>
      <c r="E39" s="450">
        <f>SUM('Book Income Statement'!F45:F50)</f>
        <v>723.38527399999998</v>
      </c>
      <c r="F39" s="450">
        <f>SUM('Book Income Statement'!G45:G50)</f>
        <v>745.08683222000002</v>
      </c>
      <c r="G39" s="450">
        <f>SUM('Book Income Statement'!H45:H50)</f>
        <v>767.43943718659989</v>
      </c>
      <c r="H39" s="450">
        <f>SUM('Book Income Statement'!I45:I50)</f>
        <v>790.46262030219782</v>
      </c>
      <c r="I39" s="450">
        <f>SUM('Book Income Statement'!J45:J50)</f>
        <v>814.17649891126393</v>
      </c>
      <c r="J39" s="450">
        <f>SUM('Book Income Statement'!K45:K50)</f>
        <v>838.60179387860171</v>
      </c>
      <c r="K39" s="450">
        <f>SUM('Book Income Statement'!L45:L50)</f>
        <v>863.75984769495994</v>
      </c>
      <c r="L39" s="450">
        <f>SUM('Book Income Statement'!M45:M50)</f>
        <v>889.67264312580858</v>
      </c>
      <c r="M39" s="450">
        <f>SUM('Book Income Statement'!N45:N50)</f>
        <v>916.36282241958293</v>
      </c>
      <c r="N39" s="450">
        <f>SUM('Book Income Statement'!O45:O50)</f>
        <v>943.85370709217023</v>
      </c>
      <c r="O39" s="450">
        <f>SUM('Book Income Statement'!P45:P50)</f>
        <v>972.16931830493536</v>
      </c>
      <c r="P39" s="450">
        <f>SUM('Book Income Statement'!Q45:Q50)</f>
        <v>1001.3343978540835</v>
      </c>
      <c r="Q39" s="450">
        <f>SUM('Book Income Statement'!R45:R50)</f>
        <v>1031.374429789706</v>
      </c>
      <c r="R39" s="450">
        <f>SUM('Book Income Statement'!S45:S50)</f>
        <v>1062.315662683397</v>
      </c>
      <c r="S39" s="450">
        <f>SUM('Book Income Statement'!T45:T50)</f>
        <v>1094.1851325638991</v>
      </c>
      <c r="T39" s="450">
        <f>SUM('Book Income Statement'!U45:U50)</f>
        <v>1127.0106865408159</v>
      </c>
      <c r="U39" s="450">
        <f>SUM('Book Income Statement'!V45:V50)</f>
        <v>1160.8210071370404</v>
      </c>
      <c r="V39" s="450">
        <f>SUM('Book Income Statement'!W45:W50)</f>
        <v>1195.6456373511514</v>
      </c>
      <c r="W39" s="450">
        <f>SUM('Book Income Statement'!X45:X50)</f>
        <v>589.09328104134022</v>
      </c>
      <c r="X39" s="450">
        <f>SUM('Book Income Statement'!Y45:Y50)</f>
        <v>0</v>
      </c>
      <c r="Y39" s="450">
        <f>SUM('Book Income Statement'!Z45:Z50)</f>
        <v>0</v>
      </c>
      <c r="Z39" s="450">
        <f>SUM('Book Income Statement'!AA45:AA50)</f>
        <v>0</v>
      </c>
      <c r="AA39" s="455"/>
    </row>
    <row r="40" spans="1:33">
      <c r="A40" s="560"/>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455"/>
    </row>
    <row r="41" spans="1:33">
      <c r="A41" s="523" t="s">
        <v>489</v>
      </c>
      <c r="B41" s="301" t="s">
        <v>366</v>
      </c>
      <c r="C41" s="450"/>
      <c r="D41" s="450"/>
      <c r="E41" s="450"/>
      <c r="F41" s="450"/>
      <c r="G41" s="450"/>
      <c r="H41" s="450"/>
      <c r="I41" s="450"/>
      <c r="J41" s="450"/>
      <c r="K41" s="450"/>
      <c r="L41" s="450"/>
      <c r="M41" s="450"/>
      <c r="N41" s="450"/>
      <c r="O41" s="450"/>
      <c r="P41" s="450"/>
      <c r="Q41" s="450"/>
      <c r="R41" s="450"/>
      <c r="S41" s="450"/>
      <c r="T41" s="450"/>
      <c r="U41" s="450"/>
      <c r="V41" s="450"/>
      <c r="W41" s="450"/>
      <c r="X41" s="450"/>
      <c r="Y41" s="450"/>
      <c r="Z41" s="450"/>
      <c r="AA41" s="455"/>
    </row>
    <row r="42" spans="1:33" s="42" customFormat="1" ht="12.6" customHeight="1">
      <c r="A42" s="511" t="s">
        <v>545</v>
      </c>
      <c r="B42" s="689">
        <f>AVERAGE(C42:V42)</f>
        <v>0.17707452774297419</v>
      </c>
      <c r="C42" s="690">
        <f>IF(Operations!C3&gt;'Project Assumptions'!$I$15,0,C29/'Project Assumptions'!$I$10/SUM('Book Income Statement'!D6:D8))</f>
        <v>0.2148496330532213</v>
      </c>
      <c r="D42" s="690">
        <f>IF(Operations!D3&gt;'Project Assumptions'!$I$15,0,D29/'Project Assumptions'!$I$10/SUM('Book Income Statement'!E6:E8))</f>
        <v>0.12908882119281045</v>
      </c>
      <c r="E42" s="690">
        <f>IF(Operations!E3&gt;'Project Assumptions'!$I$15,0,E29/'Project Assumptions'!$I$10/SUM('Book Income Statement'!F6:F8))</f>
        <v>0.13296148582859477</v>
      </c>
      <c r="F42" s="690">
        <f>IF(Operations!F3&gt;'Project Assumptions'!$I$15,0,F29/'Project Assumptions'!$I$10/SUM('Book Income Statement'!G6:G8))</f>
        <v>0.13992115267169389</v>
      </c>
      <c r="G42" s="690">
        <f>IF(Operations!G3&gt;'Project Assumptions'!$I$15,0,G29/'Project Assumptions'!$I$10/SUM('Book Income Statement'!H6:H8))</f>
        <v>0.14509533583627229</v>
      </c>
      <c r="H42" s="690">
        <f>IF(Operations!H3&gt;'Project Assumptions'!$I$15,0,H29/'Project Assumptions'!$I$10/SUM('Book Income Statement'!I6:I8))</f>
        <v>0.14944819591136047</v>
      </c>
      <c r="I42" s="690">
        <f>IF(Operations!I3&gt;'Project Assumptions'!$I$15,0,I29/'Project Assumptions'!$I$10/SUM('Book Income Statement'!J6:J8))</f>
        <v>0.15393164178870131</v>
      </c>
      <c r="J42" s="690">
        <f>IF(Operations!J3&gt;'Project Assumptions'!$I$15,0,J29/'Project Assumptions'!$I$10/SUM('Book Income Statement'!K6:K8))</f>
        <v>0.15854959104236233</v>
      </c>
      <c r="K42" s="690">
        <f>IF(Operations!K3&gt;'Project Assumptions'!$I$15,0,K29/'Project Assumptions'!$I$10/SUM('Book Income Statement'!L6:L8))</f>
        <v>0.16330607877363321</v>
      </c>
      <c r="L42" s="690">
        <f>IF(Operations!L3&gt;'Project Assumptions'!$I$15,0,L29/'Project Assumptions'!$I$10/SUM('Book Income Statement'!M6:M8))</f>
        <v>0.16820526113684217</v>
      </c>
      <c r="M42" s="690">
        <f>IF(Operations!M3&gt;'Project Assumptions'!$I$15,0,M29/'Project Assumptions'!$I$10/SUM('Book Income Statement'!N6:N8))</f>
        <v>0.17325141897094745</v>
      </c>
      <c r="N42" s="690">
        <f>IF(Operations!N3&gt;'Project Assumptions'!$I$15,0,N29/'Project Assumptions'!$I$10/SUM('Book Income Statement'!O6:O8))</f>
        <v>0.17844896154007583</v>
      </c>
      <c r="O42" s="690">
        <f>IF(Operations!O3&gt;'Project Assumptions'!$I$15,0,O29/'Project Assumptions'!$I$10/SUM('Book Income Statement'!P6:P8))</f>
        <v>0.18380243038627811</v>
      </c>
      <c r="P42" s="690">
        <f>IF(Operations!P3&gt;'Project Assumptions'!$I$15,0,P29/'Project Assumptions'!$I$10/SUM('Book Income Statement'!Q6:Q8))</f>
        <v>0.18931650329786645</v>
      </c>
      <c r="Q42" s="690">
        <f>IF(Operations!Q3&gt;'Project Assumptions'!$I$15,0,Q29/'Project Assumptions'!$I$10/SUM('Book Income Statement'!R6:R8))</f>
        <v>0.19499599839680248</v>
      </c>
      <c r="R42" s="690">
        <f>IF(Operations!R3&gt;'Project Assumptions'!$I$15,0,R29/'Project Assumptions'!$I$10/SUM('Book Income Statement'!S6:S8))</f>
        <v>0.20084587834870657</v>
      </c>
      <c r="S42" s="690">
        <f>IF(Operations!S3&gt;'Project Assumptions'!$I$15,0,S29/'Project Assumptions'!$I$10/SUM('Book Income Statement'!T6:T8))</f>
        <v>0.2068712546991677</v>
      </c>
      <c r="T42" s="690">
        <f>IF(Operations!T3&gt;'Project Assumptions'!$I$15,0,T29/'Project Assumptions'!$I$10/SUM('Book Income Statement'!U6:U8))</f>
        <v>0.21307739234014275</v>
      </c>
      <c r="U42" s="690">
        <f>IF(Operations!U3&gt;'Project Assumptions'!$I$15,0,U29/'Project Assumptions'!$I$10/SUM('Book Income Statement'!V6:V8))</f>
        <v>0.21946971411034702</v>
      </c>
      <c r="V42" s="690">
        <f>IF(Operations!V3&gt;'Project Assumptions'!$I$15,0,V29/'Project Assumptions'!$I$10/SUM('Book Income Statement'!W6:W8))</f>
        <v>0.22605380553365742</v>
      </c>
      <c r="W42" s="690">
        <f>IF(Operations!W3&gt;'Project Assumptions'!$I$15+1,0,W29/'Project Assumptions'!$I$10/SUM('Book Income Statement'!X6:X8))</f>
        <v>0.55880500727920102</v>
      </c>
      <c r="X42" s="690" t="e">
        <f>IF(Operations!X3&gt;'Project Assumptions'!$I$15,0,X29/'Project Assumptions'!$I$10/SUM('Book Income Statement'!Y6:Y8))</f>
        <v>#DIV/0!</v>
      </c>
      <c r="Y42" s="690" t="e">
        <f>IF(Operations!Y3&gt;'Project Assumptions'!$I$15,0,Y29/'Project Assumptions'!$I$10/SUM('Book Income Statement'!Z6:Z8))</f>
        <v>#DIV/0!</v>
      </c>
      <c r="Z42" s="690" t="e">
        <f>IF(Operations!Z3&gt;'Project Assumptions'!$I$15,0,Z29/'Project Assumptions'!$I$10/SUM('Book Income Statement'!AA6:AA8))</f>
        <v>#DIV/0!</v>
      </c>
      <c r="AA42" s="455"/>
      <c r="AB42" s="205"/>
      <c r="AC42" s="205"/>
      <c r="AD42" s="205"/>
      <c r="AE42" s="205"/>
      <c r="AF42" s="205"/>
      <c r="AG42" s="205"/>
    </row>
    <row r="43" spans="1:33" s="42" customFormat="1" ht="12.6" customHeight="1">
      <c r="A43" s="511" t="s">
        <v>549</v>
      </c>
      <c r="B43" s="693">
        <f>AVERAGE(C43:V43)</f>
        <v>0.53306301135215883</v>
      </c>
      <c r="C43" s="690">
        <f>IF(Operations!C3&gt;'Project Assumptions'!$I$15,0,C30/'Project Assumptions'!$I$10/SUM('Book Income Statement'!D6:D8))</f>
        <v>0.66255831932773113</v>
      </c>
      <c r="D43" s="690">
        <f>IF(Operations!D3&gt;'Project Assumptions'!$I$15,0,D30/'Project Assumptions'!$I$10/SUM('Book Income Statement'!E6:E8))</f>
        <v>0.39808712352941172</v>
      </c>
      <c r="E43" s="690">
        <f>IF(Operations!E3&gt;'Project Assumptions'!$I$15,0,E30/'Project Assumptions'!$I$10/SUM('Book Income Statement'!F6:F8))</f>
        <v>0.41002973723529412</v>
      </c>
      <c r="F43" s="690">
        <f>IF(Operations!F3&gt;'Project Assumptions'!$I$15,0,F30/'Project Assumptions'!$I$10/SUM('Book Income Statement'!G6:G8))</f>
        <v>0.42233062935235294</v>
      </c>
      <c r="G43" s="690">
        <f>IF(Operations!G3&gt;'Project Assumptions'!$I$15,0,G30/'Project Assumptions'!$I$10/SUM('Book Income Statement'!H6:H8))</f>
        <v>0.4350005482329235</v>
      </c>
      <c r="H43" s="690">
        <f>IF(Operations!H3&gt;'Project Assumptions'!$I$15,0,H30/'Project Assumptions'!$I$10/SUM('Book Income Statement'!I6:I8))</f>
        <v>0.44805056467991117</v>
      </c>
      <c r="I43" s="690">
        <f>IF(Operations!I3&gt;'Project Assumptions'!$I$15,0,I30/'Project Assumptions'!$I$10/SUM('Book Income Statement'!J6:J8))</f>
        <v>0.46149208162030853</v>
      </c>
      <c r="J43" s="690">
        <f>IF(Operations!J3&gt;'Project Assumptions'!$I$15,0,J30/'Project Assumptions'!$I$10/SUM('Book Income Statement'!K6:K8))</f>
        <v>0.4753368440689178</v>
      </c>
      <c r="K43" s="690">
        <f>IF(Operations!K3&gt;'Project Assumptions'!$I$15,0,K30/'Project Assumptions'!$I$10/SUM('Book Income Statement'!L6:L8))</f>
        <v>0.4895969493909853</v>
      </c>
      <c r="L43" s="690">
        <f>IF(Operations!L3&gt;'Project Assumptions'!$I$15,0,L30/'Project Assumptions'!$I$10/SUM('Book Income Statement'!M6:M8))</f>
        <v>0.50428485787271493</v>
      </c>
      <c r="M43" s="690">
        <f>IF(Operations!M3&gt;'Project Assumptions'!$I$15,0,M30/'Project Assumptions'!$I$10/SUM('Book Income Statement'!N6:N8))</f>
        <v>0.51941340360889632</v>
      </c>
      <c r="N43" s="690">
        <f>IF(Operations!N3&gt;'Project Assumptions'!$I$15,0,N30/'Project Assumptions'!$I$10/SUM('Book Income Statement'!O6:O8))</f>
        <v>0.53499580571716321</v>
      </c>
      <c r="O43" s="690">
        <f>IF(Operations!O3&gt;'Project Assumptions'!$I$15,0,O30/'Project Assumptions'!$I$10/SUM('Book Income Statement'!P6:P8))</f>
        <v>0.55104567988867792</v>
      </c>
      <c r="P43" s="690">
        <f>IF(Operations!P3&gt;'Project Assumptions'!$I$15,0,P30/'Project Assumptions'!$I$10/SUM('Book Income Statement'!Q6:Q8))</f>
        <v>0.56757705028533845</v>
      </c>
      <c r="Q43" s="690">
        <f>IF(Operations!Q3&gt;'Project Assumptions'!$I$15,0,Q30/'Project Assumptions'!$I$10/SUM('Book Income Statement'!R6:R8))</f>
        <v>0.58460436179389863</v>
      </c>
      <c r="R43" s="690">
        <f>IF(Operations!R3&gt;'Project Assumptions'!$I$15,0,R30/'Project Assumptions'!$I$10/SUM('Book Income Statement'!S6:S8))</f>
        <v>0.60214249264771535</v>
      </c>
      <c r="S43" s="690">
        <f>IF(Operations!S3&gt;'Project Assumptions'!$I$15,0,S30/'Project Assumptions'!$I$10/SUM('Book Income Statement'!T6:T8))</f>
        <v>0.62020676742714698</v>
      </c>
      <c r="T43" s="690">
        <f>IF(Operations!T3&gt;'Project Assumptions'!$I$15,0,T30/'Project Assumptions'!$I$10/SUM('Book Income Statement'!U6:U8))</f>
        <v>0.63881297044996133</v>
      </c>
      <c r="U43" s="690">
        <f>IF(Operations!U3&gt;'Project Assumptions'!$I$15,0,U30/'Project Assumptions'!$I$10/SUM('Book Income Statement'!V6:V8))</f>
        <v>0.65797735956346015</v>
      </c>
      <c r="V43" s="690">
        <f>IF(Operations!V3&gt;'Project Assumptions'!$I$15,0,V30/'Project Assumptions'!$I$10/SUM('Book Income Statement'!W6:W8))</f>
        <v>0.67771668035036392</v>
      </c>
      <c r="W43" s="690">
        <f>IF(Operations!W3&gt;'Project Assumptions'!$I$15+1,0,W30/'Project Assumptions'!$I$10/SUM('Book Income Statement'!X6:X8))</f>
        <v>1.6753156338260993</v>
      </c>
      <c r="X43" s="690" t="e">
        <f>IF(Operations!X3&gt;'Project Assumptions'!$I$15,0,X30/'Project Assumptions'!$I$10/SUM('Book Income Statement'!Y6:Y8))</f>
        <v>#DIV/0!</v>
      </c>
      <c r="Y43" s="690" t="e">
        <f>IF(Operations!Y3&gt;'Project Assumptions'!$I$15,0,Y30/'Project Assumptions'!$I$10/SUM('Book Income Statement'!Z6:Z8))</f>
        <v>#DIV/0!</v>
      </c>
      <c r="Z43" s="690" t="e">
        <f>IF(Operations!Z3&gt;'Project Assumptions'!$I$15,0,Z30/'Project Assumptions'!$I$10/SUM('Book Income Statement'!AA6:AA8))</f>
        <v>#DIV/0!</v>
      </c>
      <c r="AA43" s="455"/>
      <c r="AB43" s="205"/>
      <c r="AC43" s="205"/>
      <c r="AD43" s="205"/>
      <c r="AE43" s="205"/>
      <c r="AF43" s="205"/>
      <c r="AG43" s="205"/>
    </row>
    <row r="44" spans="1:33" s="42" customFormat="1" ht="14.25" customHeight="1">
      <c r="A44" s="511" t="s">
        <v>546</v>
      </c>
      <c r="B44" s="691">
        <f>AVERAGE(C44:V44)</f>
        <v>0.54882212160863475</v>
      </c>
      <c r="C44" s="692">
        <f>IF(Operations!C3&gt;'Project Assumptions'!$I$15,0,C31/('Project Assumptions'!$I$10*SUM('Book Income Statement'!D6:D8)))</f>
        <v>0.35940109573241069</v>
      </c>
      <c r="D44" s="692">
        <f>IF(Operations!D3&gt;'Project Assumptions'!$I$15,0,D31/('Project Assumptions'!$I$10*SUM('Book Income Statement'!E6:E8)))</f>
        <v>0.36151564494425209</v>
      </c>
      <c r="E44" s="692">
        <f>IF(Operations!E3&gt;'Project Assumptions'!$I$15,0,E31/('Project Assumptions'!$I$10*SUM('Book Income Statement'!F6:F8)))</f>
        <v>0.37236111429257973</v>
      </c>
      <c r="F44" s="692">
        <f>IF(Operations!F3&gt;'Project Assumptions'!$I$15,0,F31/('Project Assumptions'!$I$10*SUM('Book Income Statement'!G6:G8)))</f>
        <v>0.42553375491089962</v>
      </c>
      <c r="G44" s="692">
        <f>IF(Operations!G3&gt;'Project Assumptions'!$I$15,0,G31/('Project Assumptions'!$I$10*SUM('Book Income Statement'!H6:H8)))</f>
        <v>0.46920109713339003</v>
      </c>
      <c r="H44" s="692">
        <f>IF(Operations!H3&gt;'Project Assumptions'!$I$15,0,H31/('Project Assumptions'!$I$10*SUM('Book Income Statement'!I6:I8)))</f>
        <v>0.48327713004739165</v>
      </c>
      <c r="I44" s="692">
        <f>IF(Operations!I3&gt;'Project Assumptions'!$I$15,0,I31/('Project Assumptions'!$I$10*SUM('Book Income Statement'!J6:J8)))</f>
        <v>0.49777544394881351</v>
      </c>
      <c r="J44" s="692">
        <f>IF(Operations!J3&gt;'Project Assumptions'!$I$15,0,J31/('Project Assumptions'!$I$10*SUM('Book Income Statement'!K6:K8)))</f>
        <v>0.51270870726727791</v>
      </c>
      <c r="K44" s="692">
        <f>IF(Operations!K3&gt;'Project Assumptions'!$I$15,0,K31/('Project Assumptions'!$I$10*SUM('Book Income Statement'!L6:L8)))</f>
        <v>0.52808996848529621</v>
      </c>
      <c r="L44" s="692">
        <f>IF(Operations!L3&gt;'Project Assumptions'!$I$15,0,L31/('Project Assumptions'!$I$10*SUM('Book Income Statement'!M6:M8)))</f>
        <v>0.54393266753985514</v>
      </c>
      <c r="M44" s="692">
        <f>IF(Operations!M3&gt;'Project Assumptions'!$I$15,0,M31/('Project Assumptions'!$I$10*SUM('Book Income Statement'!N6:N8)))</f>
        <v>0.5602506475660507</v>
      </c>
      <c r="N44" s="692">
        <f>IF(Operations!N3&gt;'Project Assumptions'!$I$15,0,N31/('Project Assumptions'!$I$10*SUM('Book Income Statement'!O6:O8)))</f>
        <v>0.57705816699303225</v>
      </c>
      <c r="O44" s="692">
        <f>IF(Operations!O3&gt;'Project Assumptions'!$I$15,0,O31/('Project Assumptions'!$I$10*SUM('Book Income Statement'!P6:P8)))</f>
        <v>0.59436991200282319</v>
      </c>
      <c r="P44" s="692">
        <f>IF(Operations!P3&gt;'Project Assumptions'!$I$15,0,P31/('Project Assumptions'!$I$10*SUM('Book Income Statement'!Q6:Q8)))</f>
        <v>0.61220100936290789</v>
      </c>
      <c r="Q44" s="692">
        <f>IF(Operations!Q3&gt;'Project Assumptions'!$I$15,0,Q31/('Project Assumptions'!$I$10*SUM('Book Income Statement'!R6:R8)))</f>
        <v>0.63056703964379512</v>
      </c>
      <c r="R44" s="692">
        <f>IF(Operations!R3&gt;'Project Assumptions'!$I$15,0,R31/('Project Assumptions'!$I$10*SUM('Book Income Statement'!S6:S8)))</f>
        <v>0.64948405083310889</v>
      </c>
      <c r="S44" s="692">
        <f>IF(Operations!S3&gt;'Project Assumptions'!$I$15,0,S31/('Project Assumptions'!$I$10*SUM('Book Income Statement'!T6:T8)))</f>
        <v>0.66896857235810225</v>
      </c>
      <c r="T44" s="692">
        <f>IF(Operations!T3&gt;'Project Assumptions'!$I$15,0,T31/('Project Assumptions'!$I$10*SUM('Book Income Statement'!U6:U8)))</f>
        <v>0.68903762952884529</v>
      </c>
      <c r="U44" s="692">
        <f>IF(Operations!U3&gt;'Project Assumptions'!$I$15,0,U31/('Project Assumptions'!$I$10*SUM('Book Income Statement'!V6:V8)))</f>
        <v>0.70970875841471071</v>
      </c>
      <c r="V44" s="692">
        <f>IF(Operations!V3&gt;'Project Assumptions'!$I$15,0,V31/('Project Assumptions'!$I$10*SUM('Book Income Statement'!W6:W8)))</f>
        <v>0.7310000211671519</v>
      </c>
      <c r="W44" s="692">
        <f>IF(Operations!W3&gt;'Project Assumptions'!$I$15+1,0,W31/('Project Assumptions'!$I$10*SUM('Book Income Statement'!X6:X8)))</f>
        <v>0.78271905252561913</v>
      </c>
      <c r="X44" s="692" t="e">
        <f>IF(Operations!X3&gt;'Project Assumptions'!$I$15,0,X31/('Project Assumptions'!$I$10*SUM('Book Income Statement'!Y6:Y8)))</f>
        <v>#DIV/0!</v>
      </c>
      <c r="Y44" s="692" t="e">
        <f>IF(Operations!Y3&gt;'Project Assumptions'!$I$15,0,Y31/('Project Assumptions'!$I$10*SUM('Book Income Statement'!Z6:Z8)))</f>
        <v>#DIV/0!</v>
      </c>
      <c r="Z44" s="692" t="e">
        <f>IF(Operations!Z3&gt;'Project Assumptions'!$I$15,0,Z31/('Project Assumptions'!$I$10*SUM('Book Income Statement'!AA6:AA8)))</f>
        <v>#DIV/0!</v>
      </c>
      <c r="AA44" s="455"/>
      <c r="AB44" s="205"/>
      <c r="AC44" s="205"/>
      <c r="AD44" s="205"/>
      <c r="AE44" s="205"/>
      <c r="AF44" s="205"/>
      <c r="AG44" s="205"/>
    </row>
    <row r="45" spans="1:33" s="42" customFormat="1" ht="12.6" customHeight="1">
      <c r="A45" s="511" t="s">
        <v>547</v>
      </c>
      <c r="B45" s="693">
        <f>AVERAGE(C45:V45)</f>
        <v>1.2589596607037672</v>
      </c>
      <c r="C45" s="690">
        <f t="shared" ref="C45:V45" si="13">SUM(C42:C44)</f>
        <v>1.2368090481133631</v>
      </c>
      <c r="D45" s="690">
        <f t="shared" si="13"/>
        <v>0.88869158966647421</v>
      </c>
      <c r="E45" s="690">
        <f t="shared" si="13"/>
        <v>0.9153523373564687</v>
      </c>
      <c r="F45" s="690">
        <f t="shared" si="13"/>
        <v>0.98778553693494642</v>
      </c>
      <c r="G45" s="690">
        <f t="shared" si="13"/>
        <v>1.0492969812025859</v>
      </c>
      <c r="H45" s="690">
        <f t="shared" si="13"/>
        <v>1.0807758906386633</v>
      </c>
      <c r="I45" s="690">
        <f t="shared" si="13"/>
        <v>1.1131991673578234</v>
      </c>
      <c r="J45" s="690">
        <f t="shared" si="13"/>
        <v>1.1465951423785579</v>
      </c>
      <c r="K45" s="690">
        <f t="shared" si="13"/>
        <v>1.1809929966499149</v>
      </c>
      <c r="L45" s="690">
        <f t="shared" si="13"/>
        <v>1.2164227865494124</v>
      </c>
      <c r="M45" s="690">
        <f t="shared" si="13"/>
        <v>1.2529154701458944</v>
      </c>
      <c r="N45" s="690">
        <f t="shared" si="13"/>
        <v>1.2905029342502714</v>
      </c>
      <c r="O45" s="690">
        <f t="shared" si="13"/>
        <v>1.3292180222777792</v>
      </c>
      <c r="P45" s="690">
        <f t="shared" si="13"/>
        <v>1.3690945629461129</v>
      </c>
      <c r="Q45" s="690">
        <f t="shared" si="13"/>
        <v>1.4101673998344961</v>
      </c>
      <c r="R45" s="690">
        <f t="shared" si="13"/>
        <v>1.4524724218295308</v>
      </c>
      <c r="S45" s="690">
        <f t="shared" si="13"/>
        <v>1.496046594484417</v>
      </c>
      <c r="T45" s="690">
        <f t="shared" si="13"/>
        <v>1.5409279923189494</v>
      </c>
      <c r="U45" s="690">
        <f t="shared" si="13"/>
        <v>1.5871558320885177</v>
      </c>
      <c r="V45" s="690">
        <f t="shared" si="13"/>
        <v>1.6347705070511731</v>
      </c>
      <c r="W45" s="690">
        <f>SUM(W42:W44)</f>
        <v>3.0168396936309194</v>
      </c>
      <c r="X45" s="690" t="e">
        <f>SUM(X42:X44)</f>
        <v>#DIV/0!</v>
      </c>
      <c r="Y45" s="690" t="e">
        <f>SUM(Y42:Y44)</f>
        <v>#DIV/0!</v>
      </c>
      <c r="Z45" s="690" t="e">
        <f>SUM(Z42:Z44)</f>
        <v>#DIV/0!</v>
      </c>
      <c r="AA45" s="455"/>
      <c r="AB45" s="205"/>
      <c r="AC45" s="205"/>
      <c r="AD45" s="205"/>
      <c r="AE45" s="205"/>
      <c r="AF45" s="205"/>
      <c r="AG45" s="205"/>
    </row>
    <row r="46" spans="1:33" s="42" customFormat="1" ht="12.6" customHeight="1">
      <c r="A46" s="511"/>
      <c r="B46" s="694"/>
      <c r="C46" s="609"/>
      <c r="D46" s="609"/>
      <c r="E46" s="609"/>
      <c r="F46" s="609"/>
      <c r="G46" s="609"/>
      <c r="H46" s="609"/>
      <c r="I46" s="609"/>
      <c r="J46" s="609"/>
      <c r="K46" s="609"/>
      <c r="L46" s="609"/>
      <c r="M46" s="609"/>
      <c r="N46" s="609"/>
      <c r="O46" s="609"/>
      <c r="P46" s="609"/>
      <c r="Q46" s="609"/>
      <c r="R46" s="609"/>
      <c r="S46" s="609"/>
      <c r="T46" s="609"/>
      <c r="U46" s="609"/>
      <c r="V46" s="609"/>
      <c r="W46" s="609"/>
      <c r="X46" s="609"/>
      <c r="Y46" s="609"/>
      <c r="Z46" s="609"/>
      <c r="AA46" s="455"/>
      <c r="AB46" s="205"/>
      <c r="AC46" s="205"/>
      <c r="AD46" s="205"/>
      <c r="AE46" s="205"/>
      <c r="AF46" s="205"/>
      <c r="AG46" s="205"/>
    </row>
    <row r="47" spans="1:33" s="42" customFormat="1" ht="12.6" customHeight="1">
      <c r="A47" s="511" t="s">
        <v>548</v>
      </c>
      <c r="B47" s="693">
        <f>AVERAGE(C47:V47)</f>
        <v>1.2589596607037672</v>
      </c>
      <c r="C47" s="690">
        <f t="shared" ref="C47:V47" si="14">C45</f>
        <v>1.2368090481133631</v>
      </c>
      <c r="D47" s="690">
        <f t="shared" si="14"/>
        <v>0.88869158966647421</v>
      </c>
      <c r="E47" s="690">
        <f t="shared" si="14"/>
        <v>0.9153523373564687</v>
      </c>
      <c r="F47" s="690">
        <f t="shared" si="14"/>
        <v>0.98778553693494642</v>
      </c>
      <c r="G47" s="690">
        <f t="shared" si="14"/>
        <v>1.0492969812025859</v>
      </c>
      <c r="H47" s="690">
        <f t="shared" si="14"/>
        <v>1.0807758906386633</v>
      </c>
      <c r="I47" s="690">
        <f t="shared" si="14"/>
        <v>1.1131991673578234</v>
      </c>
      <c r="J47" s="690">
        <f t="shared" si="14"/>
        <v>1.1465951423785579</v>
      </c>
      <c r="K47" s="690">
        <f t="shared" si="14"/>
        <v>1.1809929966499149</v>
      </c>
      <c r="L47" s="690">
        <f t="shared" si="14"/>
        <v>1.2164227865494124</v>
      </c>
      <c r="M47" s="690">
        <f t="shared" si="14"/>
        <v>1.2529154701458944</v>
      </c>
      <c r="N47" s="690">
        <f t="shared" si="14"/>
        <v>1.2905029342502714</v>
      </c>
      <c r="O47" s="690">
        <f t="shared" si="14"/>
        <v>1.3292180222777792</v>
      </c>
      <c r="P47" s="690">
        <f t="shared" si="14"/>
        <v>1.3690945629461129</v>
      </c>
      <c r="Q47" s="690">
        <f t="shared" si="14"/>
        <v>1.4101673998344961</v>
      </c>
      <c r="R47" s="690">
        <f t="shared" si="14"/>
        <v>1.4524724218295308</v>
      </c>
      <c r="S47" s="690">
        <f t="shared" si="14"/>
        <v>1.496046594484417</v>
      </c>
      <c r="T47" s="690">
        <f t="shared" si="14"/>
        <v>1.5409279923189494</v>
      </c>
      <c r="U47" s="690">
        <f t="shared" si="14"/>
        <v>1.5871558320885177</v>
      </c>
      <c r="V47" s="690">
        <f t="shared" si="14"/>
        <v>1.6347705070511731</v>
      </c>
      <c r="W47" s="690">
        <f>W45</f>
        <v>3.0168396936309194</v>
      </c>
      <c r="X47" s="690" t="e">
        <f>X45</f>
        <v>#DIV/0!</v>
      </c>
      <c r="Y47" s="690" t="e">
        <f>Y45</f>
        <v>#DIV/0!</v>
      </c>
      <c r="Z47" s="690" t="e">
        <f>Z45</f>
        <v>#DIV/0!</v>
      </c>
      <c r="AA47" s="455"/>
      <c r="AB47" s="205"/>
      <c r="AC47" s="205"/>
      <c r="AD47" s="205"/>
      <c r="AE47" s="205"/>
      <c r="AF47" s="205"/>
      <c r="AG47" s="205"/>
    </row>
    <row r="48" spans="1:33" s="42" customFormat="1" ht="12.6" customHeight="1">
      <c r="A48" s="511" t="s">
        <v>78</v>
      </c>
      <c r="B48" s="693">
        <f>AVERAGE(C48:V48)</f>
        <v>4.1565034651727367E-2</v>
      </c>
      <c r="C48" s="896">
        <f>IF(Operations!C3&gt;'Project Assumptions'!$I$15,0,C32/'Project Assumptions'!$I$10/SUM('Book Income Statement'!D6:D8))</f>
        <v>6.8797298733893564E-2</v>
      </c>
      <c r="D48" s="896">
        <f>IF(Operations!D3&gt;'Project Assumptions'!$I$15,0,D32/'Project Assumptions'!$I$10/SUM('Book Income Statement'!E6:E8))</f>
        <v>4.0131757594771243E-2</v>
      </c>
      <c r="E48" s="896">
        <f>IF(Operations!E3&gt;'Project Assumptions'!$I$15,0,E32/'Project Assumptions'!$I$10/SUM('Book Income Statement'!F6:F8))</f>
        <v>4.0131757594771243E-2</v>
      </c>
      <c r="F48" s="896">
        <f>IF(Operations!F3&gt;'Project Assumptions'!$I$15,0,F32/'Project Assumptions'!$I$10/SUM('Book Income Statement'!G6:G8))</f>
        <v>4.0131757594771243E-2</v>
      </c>
      <c r="G48" s="896">
        <f>IF(Operations!G3&gt;'Project Assumptions'!$I$15,0,G32/'Project Assumptions'!$I$10/SUM('Book Income Statement'!H6:H8))</f>
        <v>4.0131757594771243E-2</v>
      </c>
      <c r="H48" s="896">
        <f>IF(Operations!H3&gt;'Project Assumptions'!$I$15,0,H32/'Project Assumptions'!$I$10/SUM('Book Income Statement'!I6:I8))</f>
        <v>4.0131757594771243E-2</v>
      </c>
      <c r="I48" s="896">
        <f>IF(Operations!I3&gt;'Project Assumptions'!$I$15,0,I32/'Project Assumptions'!$I$10/SUM('Book Income Statement'!J6:J8))</f>
        <v>4.0131757594771243E-2</v>
      </c>
      <c r="J48" s="896">
        <f>IF(Operations!J3&gt;'Project Assumptions'!$I$15,0,J32/'Project Assumptions'!$I$10/SUM('Book Income Statement'!K6:K8))</f>
        <v>4.0131757594771243E-2</v>
      </c>
      <c r="K48" s="896">
        <f>IF(Operations!K3&gt;'Project Assumptions'!$I$15,0,K32/'Project Assumptions'!$I$10/SUM('Book Income Statement'!L6:L8))</f>
        <v>4.0131757594771243E-2</v>
      </c>
      <c r="L48" s="896">
        <f>IF(Operations!L3&gt;'Project Assumptions'!$I$15,0,L32/'Project Assumptions'!$I$10/SUM('Book Income Statement'!M6:M8))</f>
        <v>4.0131757594771243E-2</v>
      </c>
      <c r="M48" s="896">
        <f>IF(Operations!M3&gt;'Project Assumptions'!$I$15,0,M32/'Project Assumptions'!$I$10/SUM('Book Income Statement'!N6:N8))</f>
        <v>4.0131757594771243E-2</v>
      </c>
      <c r="N48" s="896">
        <f>IF(Operations!N3&gt;'Project Assumptions'!$I$15,0,N32/'Project Assumptions'!$I$10/SUM('Book Income Statement'!O6:O8))</f>
        <v>4.0131757594771243E-2</v>
      </c>
      <c r="O48" s="896">
        <f>IF(Operations!O3&gt;'Project Assumptions'!$I$15,0,O32/'Project Assumptions'!$I$10/SUM('Book Income Statement'!P6:P8))</f>
        <v>4.0131757594771243E-2</v>
      </c>
      <c r="P48" s="896">
        <f>IF(Operations!P3&gt;'Project Assumptions'!$I$15,0,P32/'Project Assumptions'!$I$10/SUM('Book Income Statement'!Q6:Q8))</f>
        <v>4.0131757594771243E-2</v>
      </c>
      <c r="Q48" s="896">
        <f>IF(Operations!Q3&gt;'Project Assumptions'!$I$15,0,Q32/'Project Assumptions'!$I$10/SUM('Book Income Statement'!R6:R8))</f>
        <v>4.0131757594771243E-2</v>
      </c>
      <c r="R48" s="896">
        <f>IF(Operations!R3&gt;'Project Assumptions'!$I$15,0,R32/'Project Assumptions'!$I$10/SUM('Book Income Statement'!S6:S8))</f>
        <v>4.0131757594771243E-2</v>
      </c>
      <c r="S48" s="896">
        <f>IF(Operations!S3&gt;'Project Assumptions'!$I$15,0,S32/'Project Assumptions'!$I$10/SUM('Book Income Statement'!T6:T8))</f>
        <v>4.0131757594771243E-2</v>
      </c>
      <c r="T48" s="896">
        <f>IF(Operations!T3&gt;'Project Assumptions'!$I$15,0,T32/'Project Assumptions'!$I$10/SUM('Book Income Statement'!U6:U8))</f>
        <v>4.0131757594771243E-2</v>
      </c>
      <c r="U48" s="896">
        <f>IF(Operations!U3&gt;'Project Assumptions'!$I$15,0,U32/'Project Assumptions'!$I$10/SUM('Book Income Statement'!V6:V8))</f>
        <v>4.0131757594771243E-2</v>
      </c>
      <c r="V48" s="896">
        <f>IF(Operations!V3&gt;'Project Assumptions'!$I$15,0,V32/'Project Assumptions'!$I$10/SUM('Book Income Statement'!W6:W8))</f>
        <v>4.0131757594771243E-2</v>
      </c>
      <c r="W48" s="896">
        <f>IF(Operations!W3&gt;'Project Assumptions'!$I$15,0,W32/'Project Assumptions'!$I$10/SUM('Book Income Statement'!X6:X8))</f>
        <v>0</v>
      </c>
      <c r="X48" s="896" t="e">
        <f>IF(Operations!X3&gt;'Project Assumptions'!$I$15,0,X32/'Project Assumptions'!$I$10/SUM('Book Income Statement'!Y6:Y8))</f>
        <v>#DIV/0!</v>
      </c>
      <c r="Y48" s="896" t="e">
        <f>IF(Operations!Y3&gt;'Project Assumptions'!$I$15,0,Y32/'Project Assumptions'!$I$10/SUM('Book Income Statement'!Z6:Z8))</f>
        <v>#DIV/0!</v>
      </c>
      <c r="Z48" s="896" t="e">
        <f>IF(Operations!Z3&gt;'Project Assumptions'!$I$15,0,Z32/'Project Assumptions'!$I$10/SUM('Book Income Statement'!AA6:AA8))</f>
        <v>#DIV/0!</v>
      </c>
      <c r="AA48" s="455"/>
      <c r="AB48" s="205"/>
      <c r="AC48" s="205"/>
      <c r="AD48" s="205"/>
      <c r="AE48" s="205"/>
      <c r="AF48" s="205"/>
      <c r="AG48" s="205"/>
    </row>
    <row r="49" spans="1:33" s="42" customFormat="1" ht="12.6" customHeight="1">
      <c r="A49" s="511" t="s">
        <v>504</v>
      </c>
      <c r="B49" s="693">
        <f>AVERAGE(C49:V49)</f>
        <v>0</v>
      </c>
      <c r="C49" s="896">
        <f>IF(Operations!C3&gt;'Project Assumptions'!$I$15,0,C33/'Project Assumptions'!$I$10/SUM('Book Income Statement'!D6:D8))</f>
        <v>0</v>
      </c>
      <c r="D49" s="896">
        <f>IF(Operations!D3&gt;'Project Assumptions'!$I$15,0,D33/'Project Assumptions'!$I$10/SUM('Book Income Statement'!E6:E8))</f>
        <v>0</v>
      </c>
      <c r="E49" s="896">
        <f>IF(Operations!E3&gt;'Project Assumptions'!$I$15,0,E33/'Project Assumptions'!$I$10/SUM('Book Income Statement'!F6:F8))</f>
        <v>0</v>
      </c>
      <c r="F49" s="896">
        <f>IF(Operations!F3&gt;'Project Assumptions'!$I$15,0,F33/'Project Assumptions'!$I$10/SUM('Book Income Statement'!G6:G8))</f>
        <v>0</v>
      </c>
      <c r="G49" s="896">
        <f>IF(Operations!G3&gt;'Project Assumptions'!$I$15,0,G33/'Project Assumptions'!$I$10/SUM('Book Income Statement'!H6:H8))</f>
        <v>0</v>
      </c>
      <c r="H49" s="896">
        <f>IF(Operations!H3&gt;'Project Assumptions'!$I$15,0,H33/'Project Assumptions'!$I$10/SUM('Book Income Statement'!I6:I8))</f>
        <v>0</v>
      </c>
      <c r="I49" s="896">
        <f>IF(Operations!I3&gt;'Project Assumptions'!$I$15,0,I33/'Project Assumptions'!$I$10/SUM('Book Income Statement'!J6:J8))</f>
        <v>0</v>
      </c>
      <c r="J49" s="896">
        <f>IF(Operations!J3&gt;'Project Assumptions'!$I$15,0,J33/'Project Assumptions'!$I$10/SUM('Book Income Statement'!K6:K8))</f>
        <v>0</v>
      </c>
      <c r="K49" s="896">
        <f>IF(Operations!K3&gt;'Project Assumptions'!$I$15,0,K33/'Project Assumptions'!$I$10/SUM('Book Income Statement'!L6:L8))</f>
        <v>0</v>
      </c>
      <c r="L49" s="896">
        <f>IF(Operations!L3&gt;'Project Assumptions'!$I$15,0,L33/'Project Assumptions'!$I$10/SUM('Book Income Statement'!M6:M8))</f>
        <v>0</v>
      </c>
      <c r="M49" s="896">
        <f>IF(Operations!M3&gt;'Project Assumptions'!$I$15,0,M33/'Project Assumptions'!$I$10/SUM('Book Income Statement'!N6:N8))</f>
        <v>0</v>
      </c>
      <c r="N49" s="896">
        <f>IF(Operations!N3&gt;'Project Assumptions'!$I$15,0,N33/'Project Assumptions'!$I$10/SUM('Book Income Statement'!O6:O8))</f>
        <v>0</v>
      </c>
      <c r="O49" s="896">
        <f>IF(Operations!O3&gt;'Project Assumptions'!$I$15,0,O33/'Project Assumptions'!$I$10/SUM('Book Income Statement'!P6:P8))</f>
        <v>0</v>
      </c>
      <c r="P49" s="896">
        <f>IF(Operations!P3&gt;'Project Assumptions'!$I$15,0,P33/'Project Assumptions'!$I$10/SUM('Book Income Statement'!Q6:Q8))</f>
        <v>0</v>
      </c>
      <c r="Q49" s="896">
        <f>IF(Operations!Q3&gt;'Project Assumptions'!$I$15,0,Q33/'Project Assumptions'!$I$10/SUM('Book Income Statement'!R6:R8))</f>
        <v>0</v>
      </c>
      <c r="R49" s="896">
        <f>IF(Operations!R3&gt;'Project Assumptions'!$I$15,0,R33/'Project Assumptions'!$I$10/SUM('Book Income Statement'!S6:S8))</f>
        <v>0</v>
      </c>
      <c r="S49" s="896">
        <f>IF(Operations!S3&gt;'Project Assumptions'!$I$15,0,S33/'Project Assumptions'!$I$10/SUM('Book Income Statement'!T6:T8))</f>
        <v>0</v>
      </c>
      <c r="T49" s="896">
        <f>IF(Operations!T3&gt;'Project Assumptions'!$I$15,0,T33/'Project Assumptions'!$I$10/SUM('Book Income Statement'!U6:U8))</f>
        <v>0</v>
      </c>
      <c r="U49" s="896">
        <f>IF(Operations!U3&gt;'Project Assumptions'!$I$15,0,U33/'Project Assumptions'!$I$10/SUM('Book Income Statement'!V6:V8))</f>
        <v>0</v>
      </c>
      <c r="V49" s="896">
        <f>IF(Operations!V3&gt;'Project Assumptions'!$I$15,0,V33/'Project Assumptions'!$I$10/SUM('Book Income Statement'!W6:W8))</f>
        <v>0</v>
      </c>
      <c r="W49" s="896">
        <f>IF(Operations!W3&gt;'Project Assumptions'!$I$15,0,W33/'Project Assumptions'!$I$10/SUM('Book Income Statement'!X6:X8))</f>
        <v>0</v>
      </c>
      <c r="X49" s="896" t="e">
        <f>IF(Operations!X3&gt;'Project Assumptions'!$I$15,0,X33/'Project Assumptions'!$I$10/SUM('Book Income Statement'!Y6:Y8))</f>
        <v>#DIV/0!</v>
      </c>
      <c r="Y49" s="896" t="e">
        <f>IF(Operations!Y3&gt;'Project Assumptions'!$I$15,0,Y33/'Project Assumptions'!$I$10/SUM('Book Income Statement'!Z6:Z8))</f>
        <v>#DIV/0!</v>
      </c>
      <c r="Z49" s="896" t="e">
        <f>IF(Operations!Z3&gt;'Project Assumptions'!$I$15,0,Z33/'Project Assumptions'!$I$10/SUM('Book Income Statement'!AA6:AA8))</f>
        <v>#DIV/0!</v>
      </c>
      <c r="AA49" s="455"/>
      <c r="AB49" s="205"/>
      <c r="AC49" s="205"/>
      <c r="AD49" s="205"/>
      <c r="AE49" s="205"/>
      <c r="AF49" s="205"/>
      <c r="AG49" s="205"/>
    </row>
    <row r="50" spans="1:33" s="42" customFormat="1" ht="15" customHeight="1">
      <c r="A50" s="511" t="s">
        <v>154</v>
      </c>
      <c r="B50" s="691">
        <f>AVERAGE(C50:V50)</f>
        <v>2.094066477099549</v>
      </c>
      <c r="C50" s="692">
        <f>IF(Operations!C3&gt;'Project Assumptions'!$I$15,0,'Returns Summary'!C23/'Project Assumptions'!$I$10/SUM('Book Income Statement'!D6:D8))</f>
        <v>4.3094938236882347</v>
      </c>
      <c r="D50" s="692">
        <f>IF(Operations!D3&gt;'Project Assumptions'!$I$15,0,'Returns Summary'!D23/'Project Assumptions'!$I$10/SUM('Book Income Statement'!E6:E8))</f>
        <v>2.4563892559235287</v>
      </c>
      <c r="E50" s="692">
        <f>IF(Operations!E3&gt;'Project Assumptions'!$I$15,0,'Returns Summary'!E23/'Project Assumptions'!$I$10/SUM('Book Income Statement'!F6:F8))</f>
        <v>2.7194395007249992</v>
      </c>
      <c r="F50" s="692">
        <f>IF(Operations!F3&gt;'Project Assumptions'!$I$15,0,'Returns Summary'!F23/'Project Assumptions'!$I$10/SUM('Book Income Statement'!G6:G8))</f>
        <v>2.9582254439040434</v>
      </c>
      <c r="G50" s="692">
        <f>IF(Operations!G3&gt;'Project Assumptions'!$I$15,0,'Returns Summary'!G23/'Project Assumptions'!$I$10/SUM('Book Income Statement'!H6:H8))</f>
        <v>2.2282449879606614</v>
      </c>
      <c r="H50" s="692">
        <f>IF(Operations!H3&gt;'Project Assumptions'!$I$15,0,'Returns Summary'!H23/'Project Assumptions'!$I$10/SUM('Book Income Statement'!I6:I8))</f>
        <v>2.1608383093082204</v>
      </c>
      <c r="I50" s="692">
        <f>IF(Operations!I3&gt;'Project Assumptions'!$I$15,0,'Returns Summary'!I23/'Project Assumptions'!$I$10/SUM('Book Income Statement'!J6:J8))</f>
        <v>2.2088232896263675</v>
      </c>
      <c r="J50" s="692">
        <f>IF(Operations!J3&gt;'Project Assumptions'!$I$15,0,'Returns Summary'!J23/'Project Assumptions'!$I$10/SUM('Book Income Statement'!K6:K8))</f>
        <v>2.1319775732701323</v>
      </c>
      <c r="K50" s="692">
        <f>IF(Operations!K3&gt;'Project Assumptions'!$I$15,0,'Returns Summary'!K23/'Project Assumptions'!$I$10/SUM('Book Income Statement'!L6:L8))</f>
        <v>2.6961966289727202</v>
      </c>
      <c r="L50" s="692">
        <f>IF(Operations!L3&gt;'Project Assumptions'!$I$15,0,'Returns Summary'!L23/'Project Assumptions'!$I$10/SUM('Book Income Statement'!M6:M8))</f>
        <v>3.0067463543716317</v>
      </c>
      <c r="M50" s="692">
        <f>IF(Operations!M3&gt;'Project Assumptions'!$I$15,0,'Returns Summary'!M23/'Project Assumptions'!$I$10/SUM('Book Income Statement'!N6:N8))</f>
        <v>1.2450067652972645</v>
      </c>
      <c r="N50" s="692">
        <f>IF(Operations!N3&gt;'Project Assumptions'!$I$15,0,'Returns Summary'!N23/'Project Assumptions'!$I$10/SUM('Book Income Statement'!O6:O8))</f>
        <v>1.3226422734526762</v>
      </c>
      <c r="O50" s="692">
        <f>IF(Operations!O3&gt;'Project Assumptions'!$I$15,0,'Returns Summary'!O23/'Project Assumptions'!$I$10/SUM('Book Income Statement'!P6:P8))</f>
        <v>1.2754470849337058</v>
      </c>
      <c r="P50" s="692">
        <f>IF(Operations!P3&gt;'Project Assumptions'!$I$15,0,'Returns Summary'!P23/'Project Assumptions'!$I$10/SUM('Book Income Statement'!Q6:Q8))</f>
        <v>1.2282518964147353</v>
      </c>
      <c r="Q50" s="692">
        <f>IF(Operations!Q3&gt;'Project Assumptions'!$I$15,0,'Returns Summary'!Q23/'Project Assumptions'!$I$10/SUM('Book Income Statement'!R6:R8))</f>
        <v>1.1810567078957648</v>
      </c>
      <c r="R50" s="692">
        <f>IF(Operations!R3&gt;'Project Assumptions'!$I$15,0,'Returns Summary'!R23/'Project Assumptions'!$I$10/SUM('Book Income Statement'!S6:S8))</f>
        <v>1.133861519376794</v>
      </c>
      <c r="S50" s="692">
        <f>IF(Operations!S3&gt;'Project Assumptions'!$I$15,0,'Returns Summary'!S23/'Project Assumptions'!$I$10/SUM('Book Income Statement'!T6:T8))</f>
        <v>1.6636246257107647</v>
      </c>
      <c r="T50" s="692">
        <f>IF(Operations!T3&gt;'Project Assumptions'!$I$15,0,'Returns Summary'!T23/'Project Assumptions'!$I$10/SUM('Book Income Statement'!U6:U8))</f>
        <v>1.8000175666139997</v>
      </c>
      <c r="U50" s="692">
        <f>IF(Operations!U3&gt;'Project Assumptions'!$I$15,0,'Returns Summary'!U23/'Project Assumptions'!$I$10/SUM('Book Income Statement'!V6:V8))</f>
        <v>2.0329240910802349</v>
      </c>
      <c r="V50" s="692">
        <f>IF(Operations!V3&gt;'Project Assumptions'!$I$15,0,'Returns Summary'!V23/'Project Assumptions'!$I$10/SUM('Book Income Statement'!W6:W8))</f>
        <v>2.1221218434644999</v>
      </c>
      <c r="W50" s="692">
        <f>IF(Operations!W3&gt;'Project Assumptions'!$I$15+1,0,'Returns Summary'!W23/'Project Assumptions'!$I$10/SUM('Book Income Statement'!X6:X8))</f>
        <v>5.2515294074135671E-16</v>
      </c>
      <c r="X50" s="692" t="e">
        <f>IF(Operations!X3&gt;'Project Assumptions'!$I$15,0,'Returns Summary'!X23/'Project Assumptions'!$I$10/SUM('Book Income Statement'!Y6:Y8))</f>
        <v>#DIV/0!</v>
      </c>
      <c r="Y50" s="692" t="e">
        <f>IF(Operations!Y3&gt;'Project Assumptions'!$I$15,0,'Returns Summary'!Y23/'Project Assumptions'!$I$10/SUM('Book Income Statement'!Z6:Z8))</f>
        <v>#DIV/0!</v>
      </c>
      <c r="Z50" s="692" t="e">
        <f>IF(Operations!Z3&gt;'Project Assumptions'!$I$15,0,'Returns Summary'!Z23/'Project Assumptions'!$I$10/SUM('Book Income Statement'!AA6:AA8))</f>
        <v>#DIV/0!</v>
      </c>
      <c r="AA50" s="455"/>
      <c r="AB50" s="205"/>
      <c r="AC50" s="205"/>
      <c r="AD50" s="205"/>
      <c r="AE50" s="205"/>
      <c r="AF50" s="205"/>
      <c r="AG50" s="205"/>
    </row>
    <row r="51" spans="1:33" s="42" customFormat="1" ht="12.6" customHeight="1">
      <c r="A51" s="511" t="s">
        <v>550</v>
      </c>
      <c r="B51" s="693">
        <f>AVERAGE(C51:V51)</f>
        <v>3.3945911724550442</v>
      </c>
      <c r="C51" s="690">
        <f t="shared" ref="C51:V51" si="15">SUM(C47:C50)</f>
        <v>5.6151001705354915</v>
      </c>
      <c r="D51" s="690">
        <f t="shared" si="15"/>
        <v>3.3852126031847742</v>
      </c>
      <c r="E51" s="690">
        <f t="shared" si="15"/>
        <v>3.6749235956762392</v>
      </c>
      <c r="F51" s="690">
        <f t="shared" si="15"/>
        <v>3.9861427384337613</v>
      </c>
      <c r="G51" s="690">
        <f t="shared" si="15"/>
        <v>3.3176737267580183</v>
      </c>
      <c r="H51" s="690">
        <f t="shared" si="15"/>
        <v>3.2817459575416548</v>
      </c>
      <c r="I51" s="690">
        <f t="shared" si="15"/>
        <v>3.362154214578962</v>
      </c>
      <c r="J51" s="690">
        <f t="shared" si="15"/>
        <v>3.3187044732434616</v>
      </c>
      <c r="K51" s="690">
        <f t="shared" si="15"/>
        <v>3.9173213832174065</v>
      </c>
      <c r="L51" s="690">
        <f t="shared" si="15"/>
        <v>4.2633008985158156</v>
      </c>
      <c r="M51" s="690">
        <f t="shared" si="15"/>
        <v>2.5380539930379302</v>
      </c>
      <c r="N51" s="690">
        <f t="shared" si="15"/>
        <v>2.6532769652977191</v>
      </c>
      <c r="O51" s="690">
        <f t="shared" si="15"/>
        <v>2.6447968648062563</v>
      </c>
      <c r="P51" s="690">
        <f t="shared" si="15"/>
        <v>2.6374782169556195</v>
      </c>
      <c r="Q51" s="690">
        <f t="shared" si="15"/>
        <v>2.6313558653250322</v>
      </c>
      <c r="R51" s="690">
        <f t="shared" si="15"/>
        <v>2.6264656988010961</v>
      </c>
      <c r="S51" s="690">
        <f t="shared" si="15"/>
        <v>3.199802977789953</v>
      </c>
      <c r="T51" s="690">
        <f t="shared" si="15"/>
        <v>3.3810773165277204</v>
      </c>
      <c r="U51" s="690">
        <f t="shared" si="15"/>
        <v>3.6602116807635241</v>
      </c>
      <c r="V51" s="690">
        <f t="shared" si="15"/>
        <v>3.7970241081104446</v>
      </c>
      <c r="W51" s="690">
        <f>SUM(W47:W50)</f>
        <v>3.0168396936309199</v>
      </c>
      <c r="X51" s="690" t="e">
        <f>SUM(X47:X50)</f>
        <v>#DIV/0!</v>
      </c>
      <c r="Y51" s="690" t="e">
        <f>SUM(Y47:Y50)</f>
        <v>#DIV/0!</v>
      </c>
      <c r="Z51" s="690" t="e">
        <f>SUM(Z47:Z50)</f>
        <v>#DIV/0!</v>
      </c>
      <c r="AA51" s="455"/>
      <c r="AB51" s="205"/>
      <c r="AC51" s="205"/>
      <c r="AD51" s="205"/>
      <c r="AE51" s="205"/>
      <c r="AF51" s="205"/>
      <c r="AG51" s="205"/>
    </row>
    <row r="52" spans="1:33" s="42" customFormat="1" ht="12.6" customHeight="1">
      <c r="A52" s="511"/>
      <c r="B52" s="694"/>
      <c r="C52" s="695"/>
      <c r="D52" s="695"/>
      <c r="E52" s="695"/>
      <c r="F52" s="695"/>
      <c r="G52" s="695"/>
      <c r="H52" s="695"/>
      <c r="I52" s="695"/>
      <c r="J52" s="695"/>
      <c r="K52" s="695"/>
      <c r="L52" s="695"/>
      <c r="M52" s="695"/>
      <c r="N52" s="695"/>
      <c r="O52" s="695"/>
      <c r="P52" s="695"/>
      <c r="Q52" s="695"/>
      <c r="R52" s="695"/>
      <c r="S52" s="695"/>
      <c r="T52" s="695"/>
      <c r="U52" s="695"/>
      <c r="V52" s="695"/>
      <c r="W52" s="695"/>
      <c r="X52" s="695"/>
      <c r="Y52" s="695"/>
      <c r="Z52" s="695"/>
      <c r="AA52" s="455"/>
      <c r="AB52" s="205"/>
      <c r="AC52" s="205"/>
      <c r="AD52" s="205"/>
      <c r="AE52" s="205"/>
      <c r="AF52" s="205"/>
      <c r="AG52" s="205"/>
    </row>
    <row r="53" spans="1:33" s="42" customFormat="1" ht="12.6" customHeight="1">
      <c r="A53" s="511" t="s">
        <v>544</v>
      </c>
      <c r="B53" s="693">
        <f>AVERAGE(C53:V53)</f>
        <v>0.32186816514158167</v>
      </c>
      <c r="C53" s="695">
        <f>C38/'Project Assumptions'!$I$10/SUM('Book Income Statement'!D6:D8)</f>
        <v>0.23957103037293354</v>
      </c>
      <c r="D53" s="695">
        <f>D38/'Project Assumptions'!$I$10/SUM('Book Income Statement'!E6:E8)</f>
        <v>0.24675816128412145</v>
      </c>
      <c r="E53" s="695">
        <f>E38/'Project Assumptions'!$I$10/SUM('Book Income Statement'!F6:F8)</f>
        <v>0.25416090612264514</v>
      </c>
      <c r="F53" s="695">
        <f>F38/'Project Assumptions'!$I$10/SUM('Book Income Statement'!G6:G8)</f>
        <v>0.26178573330632443</v>
      </c>
      <c r="G53" s="695">
        <f>G38/'Project Assumptions'!$I$10/SUM('Book Income Statement'!H6:H8)</f>
        <v>0.26963930530551417</v>
      </c>
      <c r="H53" s="695">
        <f>H38/'Project Assumptions'!$I$10/SUM('Book Income Statement'!I6:I8)</f>
        <v>0.27772848446467963</v>
      </c>
      <c r="I53" s="695">
        <f>I38/'Project Assumptions'!$I$10/SUM('Book Income Statement'!J6:J8)</f>
        <v>0.28606033899862005</v>
      </c>
      <c r="J53" s="695">
        <f>J38/'Project Assumptions'!$I$10/SUM('Book Income Statement'!K6:K8)</f>
        <v>0.29464214916857862</v>
      </c>
      <c r="K53" s="695">
        <f>K38/'Project Assumptions'!$I$10/SUM('Book Income Statement'!L6:L8)</f>
        <v>0.30348141364363596</v>
      </c>
      <c r="L53" s="695">
        <f>L38/'Project Assumptions'!$I$10/SUM('Book Income Statement'!M6:M8)</f>
        <v>0.31258585605294509</v>
      </c>
      <c r="M53" s="695">
        <f>M38/'Project Assumptions'!$I$10/SUM('Book Income Statement'!N6:N8)</f>
        <v>0.3219634317345334</v>
      </c>
      <c r="N53" s="695">
        <f>N38/'Project Assumptions'!$I$10/SUM('Book Income Statement'!O6:O8)</f>
        <v>0.33162233468656938</v>
      </c>
      <c r="O53" s="695">
        <f>O38/'Project Assumptions'!$I$10/SUM('Book Income Statement'!P6:P8)</f>
        <v>0.34157100472716645</v>
      </c>
      <c r="P53" s="695">
        <f>P38/'Project Assumptions'!$I$10/SUM('Book Income Statement'!Q6:Q8)</f>
        <v>0.3518181348689815</v>
      </c>
      <c r="Q53" s="695">
        <f>Q38/'Project Assumptions'!$I$10/SUM('Book Income Statement'!R6:R8)</f>
        <v>0.36237267891505093</v>
      </c>
      <c r="R53" s="695">
        <f>R38/'Project Assumptions'!$I$10/SUM('Book Income Statement'!S6:S8)</f>
        <v>0.37324385928250242</v>
      </c>
      <c r="S53" s="695">
        <f>S38/'Project Assumptions'!$I$10/SUM('Book Income Statement'!T6:T8)</f>
        <v>0.38444117506097752</v>
      </c>
      <c r="T53" s="695">
        <f>T38/'Project Assumptions'!$I$10/SUM('Book Income Statement'!U6:U8)</f>
        <v>0.39597441031280672</v>
      </c>
      <c r="U53" s="695">
        <f>U38/'Project Assumptions'!$I$10/SUM('Book Income Statement'!V6:V8)</f>
        <v>0.40785364262219104</v>
      </c>
      <c r="V53" s="695">
        <f>V38/'Project Assumptions'!$I$10/SUM('Book Income Statement'!W6:W8)</f>
        <v>0.42008925190085672</v>
      </c>
      <c r="W53" s="695">
        <f>W38/'Project Assumptions'!$I$10/SUM('Book Income Statement'!X6:X8)</f>
        <v>0.43269192945788237</v>
      </c>
      <c r="X53" s="695" t="e">
        <f>X38/'Project Assumptions'!$I$10/SUM('Book Income Statement'!Y6:Y8)</f>
        <v>#DIV/0!</v>
      </c>
      <c r="Y53" s="695" t="e">
        <f>Y38/'Project Assumptions'!$I$10/SUM('Book Income Statement'!Z6:Z8)</f>
        <v>#DIV/0!</v>
      </c>
      <c r="Z53" s="695" t="e">
        <f>Z38/'Project Assumptions'!$I$10/SUM('Book Income Statement'!AA6:AA8)</f>
        <v>#DIV/0!</v>
      </c>
      <c r="AA53" s="455"/>
      <c r="AB53" s="205"/>
      <c r="AC53" s="205"/>
      <c r="AD53" s="205"/>
      <c r="AE53" s="205"/>
      <c r="AF53" s="205"/>
      <c r="AG53" s="205"/>
    </row>
    <row r="54" spans="1:33" s="42" customFormat="1" ht="12.6" customHeight="1">
      <c r="A54" s="511" t="s">
        <v>368</v>
      </c>
      <c r="B54" s="696">
        <f>AVERAGE(C54:V54)</f>
        <v>0.15010893422431543</v>
      </c>
      <c r="C54" s="695">
        <f>C39/'Project Assumptions'!$I$10/SUM('Book Income Statement'!D6:D8)</f>
        <v>0.11983006535947711</v>
      </c>
      <c r="D54" s="695">
        <f>D39/'Project Assumptions'!$I$10/SUM('Book Income Statement'!E6:E8)</f>
        <v>0.11475748366013072</v>
      </c>
      <c r="E54" s="695">
        <f>E39/'Project Assumptions'!$I$10/SUM('Book Income Statement'!F6:F8)</f>
        <v>0.11820020816993464</v>
      </c>
      <c r="F54" s="695">
        <f>F39/'Project Assumptions'!$I$10/SUM('Book Income Statement'!G6:G8)</f>
        <v>0.12174621441503268</v>
      </c>
      <c r="G54" s="695">
        <f>G39/'Project Assumptions'!$I$10/SUM('Book Income Statement'!H6:H8)</f>
        <v>0.12539860084748364</v>
      </c>
      <c r="H54" s="695">
        <f>H39/'Project Assumptions'!$I$10/SUM('Book Income Statement'!I6:I8)</f>
        <v>0.12916055887290814</v>
      </c>
      <c r="I54" s="695">
        <f>I39/'Project Assumptions'!$I$10/SUM('Book Income Statement'!J6:J8)</f>
        <v>0.13303537563909543</v>
      </c>
      <c r="J54" s="695">
        <f>J39/'Project Assumptions'!$I$10/SUM('Book Income Statement'!K6:K8)</f>
        <v>0.13702643690826824</v>
      </c>
      <c r="K54" s="695">
        <f>K39/'Project Assumptions'!$I$10/SUM('Book Income Statement'!L6:L8)</f>
        <v>0.14113723001551634</v>
      </c>
      <c r="L54" s="695">
        <f>L39/'Project Assumptions'!$I$10/SUM('Book Income Statement'!M6:M8)</f>
        <v>0.1453713469159818</v>
      </c>
      <c r="M54" s="695">
        <f>M39/'Project Assumptions'!$I$10/SUM('Book Income Statement'!N6:N8)</f>
        <v>0.14973248732346126</v>
      </c>
      <c r="N54" s="695">
        <f>N39/'Project Assumptions'!$I$10/SUM('Book Income Statement'!O6:O8)</f>
        <v>0.15422446194316505</v>
      </c>
      <c r="O54" s="695">
        <f>O39/'Project Assumptions'!$I$10/SUM('Book Income Statement'!P6:P8)</f>
        <v>0.15885119580146004</v>
      </c>
      <c r="P54" s="695">
        <f>P39/'Project Assumptions'!$I$10/SUM('Book Income Statement'!Q6:Q8)</f>
        <v>0.16361673167550383</v>
      </c>
      <c r="Q54" s="695">
        <f>Q39/'Project Assumptions'!$I$10/SUM('Book Income Statement'!R6:R8)</f>
        <v>0.16852523362576896</v>
      </c>
      <c r="R54" s="695">
        <f>R39/'Project Assumptions'!$I$10/SUM('Book Income Statement'!S6:S8)</f>
        <v>0.17358099063454199</v>
      </c>
      <c r="S54" s="695">
        <f>S39/'Project Assumptions'!$I$10/SUM('Book Income Statement'!T6:T8)</f>
        <v>0.17878842035357825</v>
      </c>
      <c r="T54" s="695">
        <f>T39/'Project Assumptions'!$I$10/SUM('Book Income Statement'!U6:U8)</f>
        <v>0.18415207296418559</v>
      </c>
      <c r="U54" s="695">
        <f>U39/'Project Assumptions'!$I$10/SUM('Book Income Statement'!V6:V8)</f>
        <v>0.18967663515311117</v>
      </c>
      <c r="V54" s="695">
        <f>V39/'Project Assumptions'!$I$10/SUM('Book Income Statement'!W6:W8)</f>
        <v>0.19536693420770448</v>
      </c>
      <c r="W54" s="695">
        <f>W39/'Project Assumptions'!$I$10/SUM('Book Income Statement'!X6:X8)</f>
        <v>0.23101697295738832</v>
      </c>
      <c r="X54" s="695" t="e">
        <f>X39/'Project Assumptions'!$I$10/SUM('Book Income Statement'!Y6:Y8)</f>
        <v>#DIV/0!</v>
      </c>
      <c r="Y54" s="695" t="e">
        <f>Y39/'Project Assumptions'!$I$10/SUM('Book Income Statement'!Z6:Z8)</f>
        <v>#DIV/0!</v>
      </c>
      <c r="Z54" s="695" t="e">
        <f>Z39/'Project Assumptions'!$I$10/SUM('Book Income Statement'!AA6:AA8)</f>
        <v>#DIV/0!</v>
      </c>
      <c r="AA54" s="455"/>
      <c r="AB54" s="205"/>
      <c r="AC54" s="205"/>
      <c r="AD54" s="205"/>
      <c r="AE54" s="205"/>
      <c r="AF54" s="205"/>
      <c r="AG54" s="205"/>
    </row>
    <row r="55" spans="1:33" s="42" customFormat="1" ht="12.6" customHeight="1">
      <c r="A55" s="511"/>
      <c r="B55" s="253"/>
      <c r="C55" s="695"/>
      <c r="D55" s="695"/>
      <c r="E55" s="695"/>
      <c r="F55" s="695"/>
      <c r="G55" s="695"/>
      <c r="H55" s="695"/>
      <c r="I55" s="695"/>
      <c r="J55" s="695"/>
      <c r="K55" s="695"/>
      <c r="L55" s="695"/>
      <c r="M55" s="695"/>
      <c r="N55" s="695"/>
      <c r="O55" s="695"/>
      <c r="P55" s="695"/>
      <c r="Q55" s="695"/>
      <c r="R55" s="695"/>
      <c r="S55" s="695"/>
      <c r="T55" s="695"/>
      <c r="U55" s="695"/>
      <c r="V55" s="695"/>
      <c r="W55" s="695"/>
      <c r="X55" s="695"/>
      <c r="Y55" s="695"/>
      <c r="Z55" s="695"/>
      <c r="AA55" s="455"/>
      <c r="AB55" s="205"/>
      <c r="AC55" s="205"/>
      <c r="AD55" s="205"/>
      <c r="AE55" s="205"/>
      <c r="AF55" s="205"/>
      <c r="AG55" s="205"/>
    </row>
    <row r="56" spans="1:33">
      <c r="A56" s="523" t="s">
        <v>490</v>
      </c>
      <c r="B56" s="301" t="s">
        <v>366</v>
      </c>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c r="AA56" s="455"/>
    </row>
    <row r="57" spans="1:33" s="42" customFormat="1" ht="12.6" customHeight="1">
      <c r="A57" s="511" t="s">
        <v>551</v>
      </c>
      <c r="B57" s="689">
        <f>AVERAGE(C57:V57)</f>
        <v>1.6838179455300264</v>
      </c>
      <c r="C57" s="690">
        <f>IF(Operations!C3&gt;'Project Assumptions'!$I$15,0,C29*1000/(Operations!C30))</f>
        <v>1.2532895261437911</v>
      </c>
      <c r="D57" s="690">
        <f>IF(Operations!D3&gt;'Project Assumptions'!$I$15,0,D29*1000/(Operations!D30))</f>
        <v>1.2908882119281047</v>
      </c>
      <c r="E57" s="690">
        <f>IF(Operations!E3&gt;'Project Assumptions'!$I$15,0,E29*1000/(Operations!E30))</f>
        <v>1.3296148582859477</v>
      </c>
      <c r="F57" s="690">
        <f>IF(Operations!F3&gt;'Project Assumptions'!$I$15,0,F29*1000/(Operations!F30))</f>
        <v>1.3695033040345261</v>
      </c>
      <c r="G57" s="690">
        <f>IF(Operations!G3&gt;'Project Assumptions'!$I$15,0,G29*1000/(Operations!G30))</f>
        <v>1.4105884031555618</v>
      </c>
      <c r="H57" s="690">
        <f>IF(Operations!H3&gt;'Project Assumptions'!$I$15,0,H29*1000/(Operations!H30))</f>
        <v>1.4529060552502286</v>
      </c>
      <c r="I57" s="690">
        <f>IF(Operations!I3&gt;'Project Assumptions'!$I$15,0,I29*1000/(Operations!I30))</f>
        <v>1.4964932369077357</v>
      </c>
      <c r="J57" s="690">
        <f>IF(Operations!J3&gt;'Project Assumptions'!$I$15,0,J29*1000/(Operations!J30))</f>
        <v>1.5413880340149677</v>
      </c>
      <c r="K57" s="690">
        <f>IF(Operations!K3&gt;'Project Assumptions'!$I$15,0,K29*1000/(Operations!K30))</f>
        <v>1.5876296750354166</v>
      </c>
      <c r="L57" s="690">
        <f>IF(Operations!L3&gt;'Project Assumptions'!$I$15,0,L29*1000/(Operations!L30))</f>
        <v>1.6352585652864791</v>
      </c>
      <c r="M57" s="690">
        <f>IF(Operations!M3&gt;'Project Assumptions'!$I$15,0,M29*1000/(Operations!M30))</f>
        <v>1.6843163222450734</v>
      </c>
      <c r="N57" s="690">
        <f>IF(Operations!N3&gt;'Project Assumptions'!$I$15,0,N29*1000/(Operations!N30))</f>
        <v>1.7348458119124255</v>
      </c>
      <c r="O57" s="690">
        <f>IF(Operations!O3&gt;'Project Assumptions'!$I$15,0,O29*1000/(Operations!O30))</f>
        <v>1.7868911862697983</v>
      </c>
      <c r="P57" s="690">
        <f>IF(Operations!P3&gt;'Project Assumptions'!$I$15,0,P29*1000/(Operations!P30))</f>
        <v>1.8404979218578921</v>
      </c>
      <c r="Q57" s="690">
        <f>IF(Operations!Q3&gt;'Project Assumptions'!$I$15,0,Q29*1000/(Operations!Q30))</f>
        <v>1.8957128595136292</v>
      </c>
      <c r="R57" s="690">
        <f>IF(Operations!R3&gt;'Project Assumptions'!$I$15,0,R29*1000/(Operations!R30))</f>
        <v>1.9525842452990378</v>
      </c>
      <c r="S57" s="690">
        <f>IF(Operations!S3&gt;'Project Assumptions'!$I$15,0,S29*1000/(Operations!S30))</f>
        <v>2.0111617726580087</v>
      </c>
      <c r="T57" s="690">
        <f>IF(Operations!T3&gt;'Project Assumptions'!$I$15,0,T29*1000/(Operations!T30))</f>
        <v>2.071496625837749</v>
      </c>
      <c r="U57" s="690">
        <f>IF(Operations!U3&gt;'Project Assumptions'!$I$15,0,U29*1000/(Operations!U30))</f>
        <v>2.1336415246128815</v>
      </c>
      <c r="V57" s="690">
        <f>IF(Operations!V3&gt;'Project Assumptions'!$I$15,0,V29*1000/(Operations!V30))</f>
        <v>2.197650770351268</v>
      </c>
      <c r="W57" s="690">
        <f>IF(Operations!W3&gt;'Project Assumptions'!$I$15+1,0,W29*1000/(Operations!W30))</f>
        <v>2.2635802934618057</v>
      </c>
      <c r="X57" s="690" t="e">
        <f>IF(Operations!X3&gt;'Project Assumptions'!$I$15,0,X29*1000/(Operations!X30))</f>
        <v>#DIV/0!</v>
      </c>
      <c r="Y57" s="690" t="e">
        <f>IF(Operations!Y3&gt;'Project Assumptions'!$I$15,0,Y29*1000/(Operations!Y30))</f>
        <v>#DIV/0!</v>
      </c>
      <c r="Z57" s="690" t="e">
        <f>IF(Operations!Z3&gt;'Project Assumptions'!$I$15,0,Z29*1000/(Operations!Z30))</f>
        <v>#DIV/0!</v>
      </c>
      <c r="AA57" s="455"/>
      <c r="AB57" s="205"/>
      <c r="AC57" s="205"/>
      <c r="AD57" s="205"/>
      <c r="AE57" s="205"/>
      <c r="AF57" s="205"/>
      <c r="AG57" s="205"/>
    </row>
    <row r="58" spans="1:33" s="42" customFormat="1" ht="12.6" customHeight="1">
      <c r="A58" s="511" t="s">
        <v>552</v>
      </c>
      <c r="B58" s="693">
        <f>AVERAGE(C58:V58)</f>
        <v>5.066148938626962</v>
      </c>
      <c r="C58" s="690">
        <f>IF(Operations!C3&gt;'Project Assumptions'!$I$15,0,C30*1000/(Operations!C30))</f>
        <v>3.8649235294117652</v>
      </c>
      <c r="D58" s="690">
        <f>IF(Operations!D3&gt;'Project Assumptions'!$I$15,0,D30*1000/(Operations!D30))</f>
        <v>3.9808712352941176</v>
      </c>
      <c r="E58" s="690">
        <f>IF(Operations!E3&gt;'Project Assumptions'!$I$15,0,E30*1000/(Operations!E30))</f>
        <v>4.1002973723529417</v>
      </c>
      <c r="F58" s="690">
        <f>IF(Operations!F3&gt;'Project Assumptions'!$I$15,0,F30*1000/(Operations!F30))</f>
        <v>4.1336365606573171</v>
      </c>
      <c r="G58" s="690">
        <f>IF(Operations!G3&gt;'Project Assumptions'!$I$15,0,G30*1000/(Operations!G30))</f>
        <v>4.2289900303623558</v>
      </c>
      <c r="H58" s="690">
        <f>IF(Operations!H3&gt;'Project Assumptions'!$I$15,0,H30*1000/(Operations!H30))</f>
        <v>4.3558597312732275</v>
      </c>
      <c r="I58" s="690">
        <f>IF(Operations!I3&gt;'Project Assumptions'!$I$15,0,I30*1000/(Operations!I30))</f>
        <v>4.4865355232114243</v>
      </c>
      <c r="J58" s="690">
        <f>IF(Operations!J3&gt;'Project Assumptions'!$I$15,0,J30*1000/(Operations!J30))</f>
        <v>4.6211315889077662</v>
      </c>
      <c r="K58" s="690">
        <f>IF(Operations!K3&gt;'Project Assumptions'!$I$15,0,K30*1000/(Operations!K30))</f>
        <v>4.7597655365749993</v>
      </c>
      <c r="L58" s="690">
        <f>IF(Operations!L3&gt;'Project Assumptions'!$I$15,0,L30*1000/(Operations!L30))</f>
        <v>4.9025585026722496</v>
      </c>
      <c r="M58" s="690">
        <f>IF(Operations!M3&gt;'Project Assumptions'!$I$15,0,M30*1000/(Operations!M30))</f>
        <v>5.0496352577524171</v>
      </c>
      <c r="N58" s="690">
        <f>IF(Operations!N3&gt;'Project Assumptions'!$I$15,0,N30*1000/(Operations!N30))</f>
        <v>5.2011243154849893</v>
      </c>
      <c r="O58" s="690">
        <f>IF(Operations!O3&gt;'Project Assumptions'!$I$15,0,O30*1000/(Operations!O30))</f>
        <v>5.3571580449495384</v>
      </c>
      <c r="P58" s="690">
        <f>IF(Operations!P3&gt;'Project Assumptions'!$I$15,0,P30*1000/(Operations!P30))</f>
        <v>5.5178727862980246</v>
      </c>
      <c r="Q58" s="690">
        <f>IF(Operations!Q3&gt;'Project Assumptions'!$I$15,0,Q30*1000/(Operations!Q30))</f>
        <v>5.6834089698869663</v>
      </c>
      <c r="R58" s="690">
        <f>IF(Operations!R3&gt;'Project Assumptions'!$I$15,0,R30*1000/(Operations!R30))</f>
        <v>5.8539112389835743</v>
      </c>
      <c r="S58" s="690">
        <f>IF(Operations!S3&gt;'Project Assumptions'!$I$15,0,S30*1000/(Operations!S30))</f>
        <v>6.0295285761530817</v>
      </c>
      <c r="T58" s="690">
        <f>IF(Operations!T3&gt;'Project Assumptions'!$I$15,0,T30*1000/(Operations!T30))</f>
        <v>6.2104144334376743</v>
      </c>
      <c r="U58" s="690">
        <f>IF(Operations!U3&gt;'Project Assumptions'!$I$15,0,U30*1000/(Operations!U30))</f>
        <v>6.3967268664408037</v>
      </c>
      <c r="V58" s="690">
        <f>IF(Operations!V3&gt;'Project Assumptions'!$I$15,0,V30*1000/(Operations!V30))</f>
        <v>6.5886286724340293</v>
      </c>
      <c r="W58" s="690">
        <f>IF(Operations!W3&gt;'Project Assumptions'!$I$15,0,W30*1000/(Operations!W30))</f>
        <v>0</v>
      </c>
      <c r="X58" s="690"/>
      <c r="Y58" s="690"/>
      <c r="Z58" s="690"/>
      <c r="AA58" s="455"/>
      <c r="AB58" s="205"/>
      <c r="AC58" s="205"/>
      <c r="AD58" s="205"/>
      <c r="AE58" s="205"/>
      <c r="AF58" s="205"/>
      <c r="AG58" s="205"/>
    </row>
    <row r="59" spans="1:33" s="42" customFormat="1" ht="15" customHeight="1">
      <c r="A59" s="511" t="s">
        <v>153</v>
      </c>
      <c r="B59" s="691">
        <f>AVERAGE(C59:V59)</f>
        <v>5.2772747004992571</v>
      </c>
      <c r="C59" s="692">
        <f>IF(Operations!C3&gt;'Project Assumptions'!$I$15,0,C31*1000/Operations!C30)</f>
        <v>2.0965063917723956</v>
      </c>
      <c r="D59" s="692">
        <f>IF(Operations!D3&gt;'Project Assumptions'!$I$15,0,D31*1000/Operations!D30)</f>
        <v>3.6151564494425208</v>
      </c>
      <c r="E59" s="692">
        <f>IF(Operations!E3&gt;'Project Assumptions'!$I$15,0,E31*1000/Operations!E30)</f>
        <v>3.723611142925797</v>
      </c>
      <c r="F59" s="692">
        <f>IF(Operations!F3&gt;'Project Assumptions'!$I$15,0,F31*1000/Operations!F30)</f>
        <v>4.1649877248802127</v>
      </c>
      <c r="G59" s="692">
        <f>IF(Operations!G3&gt;'Project Assumptions'!$I$15,0,G31*1000/Operations!G30)</f>
        <v>4.5614810603634233</v>
      </c>
      <c r="H59" s="692">
        <f>IF(Operations!H3&gt;'Project Assumptions'!$I$15,0,H31*1000/Operations!H30)</f>
        <v>4.698325492174324</v>
      </c>
      <c r="I59" s="692">
        <f>IF(Operations!I3&gt;'Project Assumptions'!$I$15,0,I31*1000/Operations!I30)</f>
        <v>4.8392752569395547</v>
      </c>
      <c r="J59" s="692">
        <f>IF(Operations!J3&gt;'Project Assumptions'!$I$15,0,J31*1000/Operations!J30)</f>
        <v>4.9844535146477416</v>
      </c>
      <c r="K59" s="692">
        <f>IF(Operations!K3&gt;'Project Assumptions'!$I$15,0,K31*1000/Operations!K30)</f>
        <v>5.1339871200871743</v>
      </c>
      <c r="L59" s="692">
        <f>IF(Operations!L3&gt;'Project Assumptions'!$I$15,0,L31*1000/Operations!L30)</f>
        <v>5.2880067336897891</v>
      </c>
      <c r="M59" s="692">
        <f>IF(Operations!M3&gt;'Project Assumptions'!$I$15,0,M31*1000/Operations!M30)</f>
        <v>5.4466469357004828</v>
      </c>
      <c r="N59" s="692">
        <f>IF(Operations!N3&gt;'Project Assumptions'!$I$15,0,N31*1000/Operations!N30)</f>
        <v>5.6100463437714971</v>
      </c>
      <c r="O59" s="692">
        <f>IF(Operations!O3&gt;'Project Assumptions'!$I$15,0,O31*1000/Operations!O30)</f>
        <v>5.7783477340846412</v>
      </c>
      <c r="P59" s="692">
        <f>IF(Operations!P3&gt;'Project Assumptions'!$I$15,0,P31*1000/Operations!P30)</f>
        <v>5.9516981661071808</v>
      </c>
      <c r="Q59" s="692">
        <f>IF(Operations!Q3&gt;'Project Assumptions'!$I$15,0,Q31*1000/Operations!Q30)</f>
        <v>6.1302491110903965</v>
      </c>
      <c r="R59" s="692">
        <f>IF(Operations!R3&gt;'Project Assumptions'!$I$15,0,R31*1000/Operations!R30)</f>
        <v>6.3141565844231078</v>
      </c>
      <c r="S59" s="692">
        <f>IF(Operations!S3&gt;'Project Assumptions'!$I$15,0,S31*1000/Operations!S30)</f>
        <v>6.5035812819558014</v>
      </c>
      <c r="T59" s="692">
        <f>IF(Operations!T3&gt;'Project Assumptions'!$I$15,0,T31*1000/Operations!T30)</f>
        <v>6.6986887204144754</v>
      </c>
      <c r="U59" s="692">
        <f>IF(Operations!U3&gt;'Project Assumptions'!$I$15,0,U31*1000/Operations!U30)</f>
        <v>6.8996493820269098</v>
      </c>
      <c r="V59" s="692">
        <f>IF(Operations!V3&gt;'Project Assumptions'!$I$15,0,V31*1000/Operations!V30)</f>
        <v>7.1066388634877153</v>
      </c>
      <c r="W59" s="692">
        <f>IF(Operations!W3&gt;'Project Assumptions'!$I$15+1,0,W31*1000/Operations!W30)</f>
        <v>3.1706004769725555</v>
      </c>
      <c r="X59" s="692" t="e">
        <f>IF(Operations!X3&gt;'Project Assumptions'!$I$15,0,X31*1000/Operations!X30)</f>
        <v>#DIV/0!</v>
      </c>
      <c r="Y59" s="692" t="e">
        <f>IF(Operations!Y3&gt;'Project Assumptions'!$I$15,0,Y31*1000/Operations!Y30)</f>
        <v>#DIV/0!</v>
      </c>
      <c r="Z59" s="692" t="e">
        <f>IF(Operations!Z3&gt;'Project Assumptions'!$I$15,0,Z31*1000/Operations!Z30)</f>
        <v>#DIV/0!</v>
      </c>
      <c r="AA59" s="455"/>
      <c r="AB59" s="205"/>
      <c r="AC59" s="205"/>
      <c r="AD59" s="205"/>
      <c r="AE59" s="205"/>
      <c r="AF59" s="205"/>
      <c r="AG59" s="205"/>
    </row>
    <row r="60" spans="1:33" s="42" customFormat="1" ht="12.6" customHeight="1">
      <c r="A60" s="544" t="s">
        <v>152</v>
      </c>
      <c r="B60" s="697">
        <f>SUM(B57:B59)</f>
        <v>12.027241584656245</v>
      </c>
      <c r="C60" s="698">
        <f>IF(Operations!C3&gt;'Project Assumptions'!$I$15,0,SUM(C57:C59))</f>
        <v>7.2147194473279521</v>
      </c>
      <c r="D60" s="699">
        <f>IF(Operations!D3&gt;'Project Assumptions'!$I$15,0,SUM(D57:D59))</f>
        <v>8.8869158966647426</v>
      </c>
      <c r="E60" s="699">
        <f>IF(Operations!E3&gt;'Project Assumptions'!$I$15,0,SUM(E57:E59))</f>
        <v>9.1535233735646866</v>
      </c>
      <c r="F60" s="699">
        <f>IF(Operations!F3&gt;'Project Assumptions'!$I$15,0,SUM(F57:F59))</f>
        <v>9.6681275895720553</v>
      </c>
      <c r="G60" s="699">
        <f>IF(Operations!G3&gt;'Project Assumptions'!$I$15,0,SUM(G57:G59))</f>
        <v>10.201059493881342</v>
      </c>
      <c r="H60" s="699">
        <f>IF(Operations!H3&gt;'Project Assumptions'!$I$15,0,SUM(H57:H59))</f>
        <v>10.50709127869778</v>
      </c>
      <c r="I60" s="699">
        <f>IF(Operations!I3&gt;'Project Assumptions'!$I$15,0,SUM(I57:I59))</f>
        <v>10.822304017058714</v>
      </c>
      <c r="J60" s="699">
        <f>IF(Operations!J3&gt;'Project Assumptions'!$I$15,0,SUM(J57:J59))</f>
        <v>11.146973137570475</v>
      </c>
      <c r="K60" s="699">
        <f>IF(Operations!K3&gt;'Project Assumptions'!$I$15,0,SUM(K57:K59))</f>
        <v>11.48138233169759</v>
      </c>
      <c r="L60" s="699">
        <f>IF(Operations!L3&gt;'Project Assumptions'!$I$15,0,SUM(L57:L59))</f>
        <v>11.825823801648518</v>
      </c>
      <c r="M60" s="699">
        <f>IF(Operations!M3&gt;'Project Assumptions'!$I$15,0,SUM(M57:M59))</f>
        <v>12.180598515697973</v>
      </c>
      <c r="N60" s="699">
        <f>IF(Operations!N3&gt;'Project Assumptions'!$I$15,0,SUM(N57:N59))</f>
        <v>12.546016471168912</v>
      </c>
      <c r="O60" s="699">
        <f>IF(Operations!O3&gt;'Project Assumptions'!$I$15,0,SUM(O57:O59))</f>
        <v>12.922396965303978</v>
      </c>
      <c r="P60" s="699">
        <f>IF(Operations!P3&gt;'Project Assumptions'!$I$15,0,SUM(P57:P59))</f>
        <v>13.310068874263099</v>
      </c>
      <c r="Q60" s="699">
        <f>IF(Operations!Q3&gt;'Project Assumptions'!$I$15,0,SUM(Q57:Q59))</f>
        <v>13.709370940490992</v>
      </c>
      <c r="R60" s="699">
        <f>IF(Operations!R3&gt;'Project Assumptions'!$I$15,0,SUM(R57:R59))</f>
        <v>14.12065206870572</v>
      </c>
      <c r="S60" s="699">
        <f>IF(Operations!S3&gt;'Project Assumptions'!$I$15,0,SUM(S57:S59))</f>
        <v>14.544271630766891</v>
      </c>
      <c r="T60" s="699">
        <f>IF(Operations!T3&gt;'Project Assumptions'!$I$15,0,SUM(T57:T59))</f>
        <v>14.980599779689898</v>
      </c>
      <c r="U60" s="699">
        <f>IF(Operations!U3&gt;'Project Assumptions'!$I$15,0,SUM(U57:U59))</f>
        <v>15.430017773080595</v>
      </c>
      <c r="V60" s="699">
        <f>IF(Operations!V3&gt;'Project Assumptions'!$I$15,0,SUM(V57:V59))</f>
        <v>15.892918306273012</v>
      </c>
      <c r="W60" s="699">
        <f>IF(Operations!W3&gt;'Project Assumptions'!$I$15+1,0,SUM(W57:W59))</f>
        <v>5.4341807704343612</v>
      </c>
      <c r="X60" s="699" t="e">
        <f>IF(Operations!X3&gt;'Project Assumptions'!$I$15,0,SUM(X57:X59))</f>
        <v>#DIV/0!</v>
      </c>
      <c r="Y60" s="699" t="e">
        <f>IF(Operations!Y3&gt;'Project Assumptions'!$I$15,0,SUM(Y57:Y59))</f>
        <v>#DIV/0!</v>
      </c>
      <c r="Z60" s="699" t="e">
        <f>IF(Operations!Z3&gt;'Project Assumptions'!$I$15,0,SUM(Z57:Z59))</f>
        <v>#DIV/0!</v>
      </c>
      <c r="AA60" s="700"/>
      <c r="AB60" s="205"/>
      <c r="AC60" s="205"/>
      <c r="AD60" s="205"/>
      <c r="AE60" s="205"/>
      <c r="AF60" s="205"/>
      <c r="AG60" s="205"/>
    </row>
    <row r="61" spans="1:33" s="42" customFormat="1" ht="12.6" customHeight="1">
      <c r="A61" s="205"/>
      <c r="B61" s="205"/>
      <c r="C61" s="701"/>
      <c r="D61" s="702"/>
      <c r="E61" s="702"/>
      <c r="F61" s="702"/>
      <c r="G61" s="702"/>
      <c r="H61" s="702"/>
      <c r="I61" s="702"/>
      <c r="J61" s="702"/>
      <c r="K61" s="702"/>
      <c r="L61" s="702"/>
      <c r="M61" s="702"/>
      <c r="N61" s="702"/>
      <c r="O61" s="702"/>
      <c r="P61" s="702"/>
      <c r="Q61" s="702"/>
      <c r="R61" s="702"/>
      <c r="S61" s="702"/>
      <c r="T61" s="702"/>
      <c r="U61" s="702"/>
      <c r="V61" s="702"/>
      <c r="W61" s="702"/>
      <c r="X61" s="702"/>
      <c r="Y61" s="702"/>
      <c r="Z61" s="702"/>
      <c r="AA61" s="702"/>
      <c r="AB61" s="205"/>
      <c r="AC61" s="205"/>
      <c r="AD61" s="205"/>
      <c r="AE61" s="205"/>
      <c r="AF61" s="205"/>
      <c r="AG61" s="205"/>
    </row>
    <row r="62" spans="1:33" s="42" customFormat="1" ht="12.6" customHeight="1">
      <c r="A62" s="205"/>
      <c r="B62" s="205"/>
      <c r="C62" s="701"/>
      <c r="D62" s="702"/>
      <c r="E62" s="702"/>
      <c r="F62" s="702"/>
      <c r="G62" s="702"/>
      <c r="H62" s="702"/>
      <c r="I62" s="702"/>
      <c r="J62" s="702"/>
      <c r="K62" s="702"/>
      <c r="L62" s="702"/>
      <c r="M62" s="702"/>
      <c r="N62" s="702"/>
      <c r="O62" s="702"/>
      <c r="P62" s="702"/>
      <c r="Q62" s="702"/>
      <c r="R62" s="702"/>
      <c r="S62" s="702"/>
      <c r="T62" s="702"/>
      <c r="U62" s="702"/>
      <c r="V62" s="702"/>
      <c r="W62" s="702"/>
      <c r="X62" s="702"/>
      <c r="Y62" s="702"/>
      <c r="Z62" s="702"/>
      <c r="AA62" s="702"/>
      <c r="AB62" s="205"/>
      <c r="AC62" s="205"/>
      <c r="AD62" s="205"/>
      <c r="AE62" s="205"/>
      <c r="AF62" s="205"/>
      <c r="AG62" s="205"/>
    </row>
    <row r="63" spans="1:33" ht="12.6" customHeight="1">
      <c r="A63" s="681" t="s">
        <v>272</v>
      </c>
      <c r="B63" s="549"/>
      <c r="C63" s="549"/>
      <c r="D63" s="549"/>
      <c r="E63" s="549"/>
      <c r="F63" s="549"/>
      <c r="G63" s="549"/>
      <c r="H63" s="549"/>
      <c r="I63" s="549"/>
      <c r="J63" s="549"/>
      <c r="K63" s="549"/>
      <c r="L63" s="549"/>
      <c r="M63" s="549"/>
      <c r="N63" s="549"/>
      <c r="O63" s="549"/>
      <c r="P63" s="549"/>
      <c r="Q63" s="549"/>
      <c r="R63" s="549"/>
      <c r="S63" s="549"/>
      <c r="T63" s="549"/>
      <c r="U63" s="549"/>
      <c r="V63" s="549"/>
      <c r="W63" s="549"/>
      <c r="X63" s="549"/>
      <c r="Y63" s="549"/>
      <c r="Z63" s="549"/>
      <c r="AA63" s="550"/>
    </row>
    <row r="64" spans="1:33" ht="12.6" customHeight="1">
      <c r="A64" s="560" t="s">
        <v>274</v>
      </c>
      <c r="B64" s="703">
        <f>AVERAGE(C64:V64)</f>
        <v>6.3588190846180606</v>
      </c>
      <c r="C64" s="665">
        <f>C69*(1+'Project Assumptions'!$I$31)^('PPA Assumptions &amp;Summary'!C4-1998)/12</f>
        <v>5.6581333333333328</v>
      </c>
      <c r="D64" s="665">
        <f>D69*(1+'Project Assumptions'!$I$31)^('PPA Assumptions &amp;Summary'!D4-1998)/12</f>
        <v>5.6457561666666676</v>
      </c>
      <c r="E64" s="665">
        <f>E69*(1+'Project Assumptions'!$I$31)^('PPA Assumptions &amp;Summary'!E4-1998)/12</f>
        <v>5.7213364508333333</v>
      </c>
      <c r="F64" s="665">
        <f>F69*(1+'Project Assumptions'!$I$31)^('PPA Assumptions &amp;Summary'!F4-1998)/12</f>
        <v>5.6997641986416658</v>
      </c>
      <c r="G64" s="665">
        <f>G69*(1+'Project Assumptions'!$I$31)^('PPA Assumptions &amp;Summary'!G4-1998)/12</f>
        <v>5.7712527665568336</v>
      </c>
      <c r="H64" s="665">
        <f>H69*(1+'Project Assumptions'!$I$31)^('PPA Assumptions &amp;Summary'!H4-1998)/12</f>
        <v>5.8419008607681322</v>
      </c>
      <c r="I64" s="665">
        <f>I69*(1+'Project Assumptions'!$I$31)^('PPA Assumptions &amp;Summary'!I4-1998)/12</f>
        <v>5.9115937131422074</v>
      </c>
      <c r="J64" s="665">
        <f>J69*(1+'Project Assumptions'!$I$31)^('PPA Assumptions &amp;Summary'!J4-1998)/12</f>
        <v>6.088941524536474</v>
      </c>
      <c r="K64" s="665">
        <f>K69*(1+'Project Assumptions'!$I$31)^('PPA Assumptions &amp;Summary'!K4-1998)/12</f>
        <v>6.1596167386605574</v>
      </c>
      <c r="L64" s="665">
        <f>L69*(1+'Project Assumptions'!$I$31)^('PPA Assumptions &amp;Summary'!L4-1998)/12</f>
        <v>6.3444052408203753</v>
      </c>
      <c r="M64" s="665">
        <f>M69*(1+'Project Assumptions'!$I$31)^('PPA Assumptions &amp;Summary'!M4-1998)/12</f>
        <v>6.4159239908078041</v>
      </c>
      <c r="N64" s="665">
        <f>N69*(1+'Project Assumptions'!$I$31)^('PPA Assumptions &amp;Summary'!N4-1998)/12</f>
        <v>6.6084017105320383</v>
      </c>
      <c r="O64" s="665">
        <f>O69*(1+'Project Assumptions'!$I$31)^('PPA Assumptions &amp;Summary'!O4-1998)/12</f>
        <v>6.680604618110074</v>
      </c>
      <c r="P64" s="665">
        <f>P69*(1+'Project Assumptions'!$I$31)^('PPA Assumptions &amp;Summary'!P4-1998)/12</f>
        <v>6.7511921386033125</v>
      </c>
      <c r="Q64" s="665">
        <f>Q69*(1+'Project Assumptions'!$I$31)^('PPA Assumptions &amp;Summary'!Q4-1998)/12</f>
        <v>6.8200023661698452</v>
      </c>
      <c r="R64" s="665">
        <f>R69*(1+'Project Assumptions'!$I$31)^('PPA Assumptions &amp;Summary'!R4-1998)/12</f>
        <v>6.8868651344656273</v>
      </c>
      <c r="S64" s="665">
        <f>S69*(1+'Project Assumptions'!$I$31)^('PPA Assumptions &amp;Summary'!S4-1998)/12</f>
        <v>6.951601666729605</v>
      </c>
      <c r="T64" s="665">
        <f>T69*(1+'Project Assumptions'!$I$31)^('PPA Assumptions &amp;Summary'!T4-1998)/12</f>
        <v>7.014024212308402</v>
      </c>
      <c r="U64" s="665">
        <f>U69*(1+'Project Assumptions'!$I$31)^('PPA Assumptions &amp;Summary'!U4-1998)/12</f>
        <v>7.0739356691218687</v>
      </c>
      <c r="V64" s="665">
        <f>V69*(1+'Project Assumptions'!$I$31)^('PPA Assumptions &amp;Summary'!V4-1998)/12</f>
        <v>7.1311291915530655</v>
      </c>
      <c r="W64" s="665">
        <f>W69*(1+'Project Assumptions'!$I$31)^('PPA Assumptions &amp;Summary'!W4-1998)/12</f>
        <v>7.1853877832279265</v>
      </c>
      <c r="X64" s="148"/>
      <c r="Y64" s="148"/>
      <c r="Z64" s="148"/>
      <c r="AA64" s="559"/>
    </row>
    <row r="65" spans="1:33" ht="12.6" customHeight="1">
      <c r="A65" s="560" t="s">
        <v>275</v>
      </c>
      <c r="B65" s="704">
        <f>AVERAGE(C65:V65)</f>
        <v>4.986727453114173</v>
      </c>
      <c r="C65" s="665">
        <f>C70*(1+'Project Assumptions'!$I$31)^('PPA Assumptions &amp;Summary'!C4-1998)/12</f>
        <v>4.5088249999999999</v>
      </c>
      <c r="D65" s="665">
        <f>D70*(1+'Project Assumptions'!$I$31)^('PPA Assumptions &amp;Summary'!D4-1998)/12</f>
        <v>4.7351503333333334</v>
      </c>
      <c r="E65" s="665">
        <f>E70*(1+'Project Assumptions'!$I$31)^('PPA Assumptions &amp;Summary'!E4-1998)/12</f>
        <v>4.8772048433333328</v>
      </c>
      <c r="F65" s="665">
        <f>F70*(1+'Project Assumptions'!$I$31)^('PPA Assumptions &amp;Summary'!F4-1998)/12</f>
        <v>5.023520988633333</v>
      </c>
      <c r="G65" s="665">
        <f>G70*(1+'Project Assumptions'!$I$31)^('PPA Assumptions &amp;Summary'!G4-1998)/12</f>
        <v>5.1742266182923329</v>
      </c>
      <c r="H65" s="665">
        <f>H70*(1+'Project Assumptions'!$I$31)^('PPA Assumptions &amp;Summary'!H4-1998)/12</f>
        <v>5.3294534168411039</v>
      </c>
      <c r="I65" s="665">
        <f>I70*(1+'Project Assumptions'!$I$31)^('PPA Assumptions &amp;Summary'!I4-1998)/12</f>
        <v>5.2782086724483994</v>
      </c>
      <c r="J65" s="665">
        <f>J70*(1+'Project Assumptions'!$I$31)^('PPA Assumptions &amp;Summary'!J4-1998)/12</f>
        <v>5.2190927353169778</v>
      </c>
      <c r="K65" s="665">
        <f>K70*(1+'Project Assumptions'!$I$31)^('PPA Assumptions &amp;Summary'!K4-1998)/12</f>
        <v>5.0396864225404565</v>
      </c>
      <c r="L65" s="665">
        <f>L70*(1+'Project Assumptions'!$I$31)^('PPA Assumptions &amp;Summary'!L4-1998)/12</f>
        <v>4.9601713700959298</v>
      </c>
      <c r="M65" s="665">
        <f>M70*(1+'Project Assumptions'!$I$31)^('PPA Assumptions &amp;Summary'!M4-1998)/12</f>
        <v>4.8713496967244438</v>
      </c>
      <c r="N65" s="665">
        <f>N70*(1+'Project Assumptions'!$I$31)^('PPA Assumptions &amp;Summary'!N4-1998)/12</f>
        <v>4.8951123781718797</v>
      </c>
      <c r="O65" s="665">
        <f>O70*(1+'Project Assumptions'!$I$31)^('PPA Assumptions &amp;Summary'!O4-1998)/12</f>
        <v>4.9159166057791106</v>
      </c>
      <c r="P65" s="665">
        <f>P70*(1+'Project Assumptions'!$I$31)^('PPA Assumptions &amp;Summary'!P4-1998)/12</f>
        <v>4.8037328678523572</v>
      </c>
      <c r="Q65" s="665">
        <f>Q70*(1+'Project Assumptions'!$I$31)^('PPA Assumptions &amp;Summary'!Q4-1998)/12</f>
        <v>4.8141193172963614</v>
      </c>
      <c r="R65" s="665">
        <f>R70*(1+'Project Assumptions'!$I$31)^('PPA Assumptions &amp;Summary'!R4-1998)/12</f>
        <v>4.8208055941259396</v>
      </c>
      <c r="S65" s="665">
        <f>S70*(1+'Project Assumptions'!$I$31)^('PPA Assumptions &amp;Summary'!S4-1998)/12</f>
        <v>4.9654297619497179</v>
      </c>
      <c r="T65" s="665">
        <f>T70*(1+'Project Assumptions'!$I$31)^('PPA Assumptions &amp;Summary'!T4-1998)/12</f>
        <v>5.114392654808209</v>
      </c>
      <c r="U65" s="665">
        <f>U70*(1+'Project Assumptions'!$I$31)^('PPA Assumptions &amp;Summary'!U4-1998)/12</f>
        <v>5.117315164896671</v>
      </c>
      <c r="V65" s="665">
        <f>V70*(1+'Project Assumptions'!$I$31)^('PPA Assumptions &amp;Summary'!V4-1998)/12</f>
        <v>5.27083461984357</v>
      </c>
      <c r="W65" s="665">
        <f>W70*(1+'Project Assumptions'!$I$31)^('PPA Assumptions &amp;Summary'!W4-1998)/12</f>
        <v>5.4289596584388775</v>
      </c>
      <c r="X65" s="665"/>
      <c r="Y65" s="148"/>
      <c r="Z65" s="148"/>
      <c r="AA65" s="559"/>
    </row>
    <row r="66" spans="1:33" ht="12.6" customHeight="1">
      <c r="A66" s="560" t="s">
        <v>273</v>
      </c>
      <c r="B66" s="704">
        <f>AVERAGE(C66:V66)</f>
        <v>5.6727732688661172</v>
      </c>
      <c r="C66" s="665">
        <f>AVERAGE(C64,C65)</f>
        <v>5.0834791666666668</v>
      </c>
      <c r="D66" s="665">
        <f t="shared" ref="D66:W66" si="16">AVERAGE(D64,D65)</f>
        <v>5.1904532500000009</v>
      </c>
      <c r="E66" s="665">
        <f t="shared" si="16"/>
        <v>5.2992706470833326</v>
      </c>
      <c r="F66" s="665">
        <f t="shared" si="16"/>
        <v>5.3616425936374998</v>
      </c>
      <c r="G66" s="665">
        <f t="shared" si="16"/>
        <v>5.4727396924245832</v>
      </c>
      <c r="H66" s="665">
        <f t="shared" si="16"/>
        <v>5.585677138804618</v>
      </c>
      <c r="I66" s="665">
        <f t="shared" si="16"/>
        <v>5.5949011927953034</v>
      </c>
      <c r="J66" s="665">
        <f t="shared" si="16"/>
        <v>5.6540171299267259</v>
      </c>
      <c r="K66" s="665">
        <f t="shared" si="16"/>
        <v>5.5996515806005069</v>
      </c>
      <c r="L66" s="665">
        <f t="shared" si="16"/>
        <v>5.6522883054581525</v>
      </c>
      <c r="M66" s="665">
        <f t="shared" si="16"/>
        <v>5.6436368437661244</v>
      </c>
      <c r="N66" s="665">
        <f t="shared" si="16"/>
        <v>5.751757044351959</v>
      </c>
      <c r="O66" s="665">
        <f t="shared" si="16"/>
        <v>5.7982606119445919</v>
      </c>
      <c r="P66" s="665">
        <f t="shared" si="16"/>
        <v>5.7774625032278344</v>
      </c>
      <c r="Q66" s="665">
        <f t="shared" si="16"/>
        <v>5.8170608417331033</v>
      </c>
      <c r="R66" s="665">
        <f t="shared" si="16"/>
        <v>5.853835364295783</v>
      </c>
      <c r="S66" s="665">
        <f t="shared" si="16"/>
        <v>5.9585157143396614</v>
      </c>
      <c r="T66" s="665">
        <f t="shared" si="16"/>
        <v>6.0642084335583055</v>
      </c>
      <c r="U66" s="665">
        <f t="shared" si="16"/>
        <v>6.0956254170092699</v>
      </c>
      <c r="V66" s="665">
        <f t="shared" si="16"/>
        <v>6.2009819056983178</v>
      </c>
      <c r="W66" s="665">
        <f t="shared" si="16"/>
        <v>6.3071737208334024</v>
      </c>
      <c r="X66" s="148"/>
      <c r="Y66" s="148"/>
      <c r="Z66" s="148"/>
      <c r="AA66" s="559"/>
    </row>
    <row r="67" spans="1:33" ht="12.6" customHeight="1">
      <c r="A67" s="560" t="s">
        <v>278</v>
      </c>
      <c r="B67" s="705">
        <f>AVERAGE(C67:V67)</f>
        <v>5.3297503609901451</v>
      </c>
      <c r="C67" s="665">
        <f>C65+(C66-C65)*'Project Assumptions'!$C$75</f>
        <v>4.7961520833333333</v>
      </c>
      <c r="D67" s="665">
        <f>D65+(D66-D65)*'Project Assumptions'!$C$75</f>
        <v>4.9628017916666671</v>
      </c>
      <c r="E67" s="665">
        <f>E65+(E66-E65)*'Project Assumptions'!$C$75</f>
        <v>5.0882377452083327</v>
      </c>
      <c r="F67" s="665">
        <f>F65+(F66-F65)*'Project Assumptions'!$C$75</f>
        <v>5.1925817911354164</v>
      </c>
      <c r="G67" s="665">
        <f>G65+(G66-G65)*'Project Assumptions'!$C$75</f>
        <v>5.3234831553584581</v>
      </c>
      <c r="H67" s="665">
        <f>H65+(H66-H65)*'Project Assumptions'!$C$75</f>
        <v>5.4575652778228605</v>
      </c>
      <c r="I67" s="665">
        <f>I65+(I66-I65)*'Project Assumptions'!$C$75</f>
        <v>5.436554932621851</v>
      </c>
      <c r="J67" s="665">
        <f>J65+(J66-J65)*'Project Assumptions'!$C$75</f>
        <v>5.4365549326218519</v>
      </c>
      <c r="K67" s="665">
        <f>K65+(K66-K65)*'Project Assumptions'!$C$75</f>
        <v>5.3196690015704817</v>
      </c>
      <c r="L67" s="665">
        <f>L65+(L66-L65)*'Project Assumptions'!$C$75</f>
        <v>5.3062298377770407</v>
      </c>
      <c r="M67" s="665">
        <f>M65+(M66-M65)*'Project Assumptions'!$C$75</f>
        <v>5.2574932702452841</v>
      </c>
      <c r="N67" s="665">
        <f>N65+(N66-N65)*'Project Assumptions'!$C$75</f>
        <v>5.3234347112619194</v>
      </c>
      <c r="O67" s="665">
        <f>O65+(O66-O65)*'Project Assumptions'!$C$75</f>
        <v>5.3570886088618508</v>
      </c>
      <c r="P67" s="665">
        <f>P65+(P66-P65)*'Project Assumptions'!$C$75</f>
        <v>5.2905976855400958</v>
      </c>
      <c r="Q67" s="665">
        <f>Q65+(Q66-Q65)*'Project Assumptions'!$C$75</f>
        <v>5.3155900795147328</v>
      </c>
      <c r="R67" s="665">
        <f>R65+(R66-R65)*'Project Assumptions'!$C$75</f>
        <v>5.3373204792108613</v>
      </c>
      <c r="S67" s="665">
        <f>S65+(S66-S65)*'Project Assumptions'!$C$75</f>
        <v>5.4619727381446896</v>
      </c>
      <c r="T67" s="665">
        <f>T65+(T66-T65)*'Project Assumptions'!$C$75</f>
        <v>5.5893005441832573</v>
      </c>
      <c r="U67" s="665">
        <f>U65+(U66-U65)*'Project Assumptions'!$C$75</f>
        <v>5.60647029095297</v>
      </c>
      <c r="V67" s="665">
        <f>V65+(V66-V65)*'Project Assumptions'!$C$75</f>
        <v>5.7359082627709439</v>
      </c>
      <c r="W67" s="665">
        <f>W65+(W66-W65)*'Project Assumptions'!$C$75</f>
        <v>5.86806668963614</v>
      </c>
      <c r="X67" s="148"/>
      <c r="Y67" s="148"/>
      <c r="Z67" s="148"/>
      <c r="AA67" s="559"/>
    </row>
    <row r="68" spans="1:33" s="42" customFormat="1" ht="12.6" customHeight="1">
      <c r="A68" s="511"/>
      <c r="B68" s="253"/>
      <c r="C68" s="665"/>
      <c r="D68" s="665"/>
      <c r="E68" s="665"/>
      <c r="F68" s="665"/>
      <c r="G68" s="665"/>
      <c r="H68" s="665"/>
      <c r="I68" s="665"/>
      <c r="J68" s="665"/>
      <c r="K68" s="665"/>
      <c r="L68" s="665"/>
      <c r="M68" s="665"/>
      <c r="N68" s="665"/>
      <c r="O68" s="665"/>
      <c r="P68" s="665"/>
      <c r="Q68" s="665"/>
      <c r="R68" s="665"/>
      <c r="S68" s="665"/>
      <c r="T68" s="665"/>
      <c r="U68" s="665"/>
      <c r="V68" s="665"/>
      <c r="W68" s="665"/>
      <c r="X68" s="665"/>
      <c r="Y68" s="665"/>
      <c r="Z68" s="665"/>
      <c r="AA68" s="666"/>
      <c r="AB68" s="205"/>
      <c r="AC68" s="205"/>
      <c r="AD68" s="205"/>
      <c r="AE68" s="205"/>
      <c r="AF68" s="205"/>
      <c r="AG68" s="205"/>
    </row>
    <row r="69" spans="1:33" ht="12.6" customHeight="1">
      <c r="A69" s="706" t="s">
        <v>613</v>
      </c>
      <c r="B69" s="253" t="s">
        <v>372</v>
      </c>
      <c r="C69" s="707">
        <v>64</v>
      </c>
      <c r="D69" s="707">
        <v>62</v>
      </c>
      <c r="E69" s="707">
        <v>61</v>
      </c>
      <c r="F69" s="707">
        <v>59</v>
      </c>
      <c r="G69" s="707">
        <v>58</v>
      </c>
      <c r="H69" s="707">
        <v>57</v>
      </c>
      <c r="I69" s="707">
        <v>56</v>
      </c>
      <c r="J69" s="707">
        <v>56</v>
      </c>
      <c r="K69" s="707">
        <v>55</v>
      </c>
      <c r="L69" s="707">
        <v>55</v>
      </c>
      <c r="M69" s="707">
        <v>54</v>
      </c>
      <c r="N69" s="707">
        <v>54</v>
      </c>
      <c r="O69" s="707">
        <v>53</v>
      </c>
      <c r="P69" s="707">
        <v>52</v>
      </c>
      <c r="Q69" s="707">
        <v>51</v>
      </c>
      <c r="R69" s="707">
        <v>50</v>
      </c>
      <c r="S69" s="707">
        <v>49</v>
      </c>
      <c r="T69" s="707">
        <v>48</v>
      </c>
      <c r="U69" s="707">
        <v>47</v>
      </c>
      <c r="V69" s="707">
        <v>46</v>
      </c>
      <c r="W69" s="1037">
        <v>45</v>
      </c>
      <c r="X69" s="664"/>
      <c r="Y69" s="148"/>
      <c r="Z69" s="148"/>
      <c r="AA69" s="559"/>
    </row>
    <row r="70" spans="1:33" ht="12.6" customHeight="1">
      <c r="A70" s="706" t="s">
        <v>614</v>
      </c>
      <c r="B70" s="253" t="s">
        <v>372</v>
      </c>
      <c r="C70" s="707">
        <v>51</v>
      </c>
      <c r="D70" s="707">
        <v>52</v>
      </c>
      <c r="E70" s="707">
        <v>52</v>
      </c>
      <c r="F70" s="707">
        <v>52</v>
      </c>
      <c r="G70" s="707">
        <v>52</v>
      </c>
      <c r="H70" s="707">
        <v>52</v>
      </c>
      <c r="I70" s="707">
        <v>50</v>
      </c>
      <c r="J70" s="707">
        <v>48</v>
      </c>
      <c r="K70" s="707">
        <v>45</v>
      </c>
      <c r="L70" s="707">
        <v>43</v>
      </c>
      <c r="M70" s="707">
        <v>41</v>
      </c>
      <c r="N70" s="707">
        <v>40</v>
      </c>
      <c r="O70" s="707">
        <v>39</v>
      </c>
      <c r="P70" s="707">
        <v>37</v>
      </c>
      <c r="Q70" s="707">
        <v>36</v>
      </c>
      <c r="R70" s="707">
        <v>35</v>
      </c>
      <c r="S70" s="707">
        <v>35</v>
      </c>
      <c r="T70" s="707">
        <v>35</v>
      </c>
      <c r="U70" s="707">
        <v>34</v>
      </c>
      <c r="V70" s="707">
        <v>34</v>
      </c>
      <c r="W70" s="1037">
        <v>34</v>
      </c>
      <c r="X70" s="664"/>
      <c r="Y70" s="148"/>
      <c r="Z70" s="148"/>
      <c r="AA70" s="559"/>
    </row>
    <row r="71" spans="1:33" s="5" customFormat="1" ht="12.6" customHeight="1">
      <c r="A71" s="449"/>
      <c r="B71" s="453"/>
      <c r="C71" s="148"/>
      <c r="D71" s="148"/>
      <c r="E71" s="148"/>
      <c r="F71" s="148"/>
      <c r="G71" s="148"/>
      <c r="H71" s="148"/>
      <c r="I71" s="148"/>
      <c r="J71" s="708"/>
      <c r="K71" s="708"/>
      <c r="L71" s="708"/>
      <c r="M71" s="708"/>
      <c r="N71" s="708"/>
      <c r="O71" s="708"/>
      <c r="P71" s="708"/>
      <c r="Q71" s="708"/>
      <c r="R71" s="708"/>
      <c r="S71" s="708"/>
      <c r="T71" s="708"/>
      <c r="U71" s="708"/>
      <c r="V71" s="708"/>
      <c r="W71" s="708"/>
      <c r="X71" s="708"/>
      <c r="Y71" s="708"/>
      <c r="Z71" s="708"/>
      <c r="AA71" s="709"/>
      <c r="AB71" s="267"/>
      <c r="AC71" s="267"/>
      <c r="AD71" s="267"/>
      <c r="AE71" s="267"/>
      <c r="AF71" s="267"/>
      <c r="AG71" s="267"/>
    </row>
    <row r="72" spans="1:33" ht="12.6" customHeight="1">
      <c r="A72" s="670" t="s">
        <v>332</v>
      </c>
      <c r="B72" s="253"/>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559"/>
    </row>
    <row r="73" spans="1:33" s="5" customFormat="1" ht="12.6" customHeight="1">
      <c r="A73" s="449" t="s">
        <v>333</v>
      </c>
      <c r="B73" s="710">
        <f>'Project Assumptions'!I31</f>
        <v>0.03</v>
      </c>
      <c r="C73" s="711">
        <f>D73/(1+B73)</f>
        <v>45.013987</v>
      </c>
      <c r="D73" s="708">
        <f>D78*((1+$B$73)^3)</f>
        <v>46.364406610000003</v>
      </c>
      <c r="E73" s="708">
        <f t="shared" ref="E73:V73" si="17">E78*((1+$B$73)^3)</f>
        <v>49.489605830000002</v>
      </c>
      <c r="F73" s="708">
        <f t="shared" si="17"/>
        <v>52.822423180000001</v>
      </c>
      <c r="G73" s="708">
        <f t="shared" si="17"/>
        <v>56.373785930000004</v>
      </c>
      <c r="H73" s="708">
        <f t="shared" si="17"/>
        <v>60.176475889999999</v>
      </c>
      <c r="I73" s="708">
        <f t="shared" si="17"/>
        <v>60.668203040000002</v>
      </c>
      <c r="J73" s="708">
        <f t="shared" si="17"/>
        <v>61.159930189999997</v>
      </c>
      <c r="K73" s="708">
        <f t="shared" si="17"/>
        <v>61.662584610000003</v>
      </c>
      <c r="L73" s="708">
        <f t="shared" si="17"/>
        <v>62.165239030000002</v>
      </c>
      <c r="M73" s="708">
        <f t="shared" si="17"/>
        <v>62.678820719999997</v>
      </c>
      <c r="N73" s="708">
        <f t="shared" si="17"/>
        <v>60.263894049999998</v>
      </c>
      <c r="O73" s="708">
        <f t="shared" si="17"/>
        <v>57.958240079999996</v>
      </c>
      <c r="P73" s="708">
        <f t="shared" si="17"/>
        <v>55.729077000000004</v>
      </c>
      <c r="Q73" s="708">
        <f t="shared" si="17"/>
        <v>53.587332079999996</v>
      </c>
      <c r="R73" s="708">
        <f t="shared" si="17"/>
        <v>51.533005319999994</v>
      </c>
      <c r="S73" s="708">
        <f t="shared" si="17"/>
        <v>52.232350599999997</v>
      </c>
      <c r="T73" s="708">
        <f t="shared" si="17"/>
        <v>52.931695879999999</v>
      </c>
      <c r="U73" s="708">
        <f t="shared" si="17"/>
        <v>53.652895700000002</v>
      </c>
      <c r="V73" s="708">
        <f t="shared" si="17"/>
        <v>53.652895700000002</v>
      </c>
      <c r="W73" s="708">
        <f>W78*((1+$B$73)^3)</f>
        <v>0</v>
      </c>
      <c r="X73" s="708"/>
      <c r="Y73" s="708"/>
      <c r="Z73" s="708"/>
      <c r="AA73" s="709"/>
      <c r="AB73" s="267"/>
      <c r="AC73" s="267"/>
      <c r="AD73" s="267"/>
      <c r="AE73" s="267"/>
      <c r="AF73" s="267"/>
      <c r="AG73" s="267"/>
    </row>
    <row r="74" spans="1:33">
      <c r="A74" s="449" t="s">
        <v>334</v>
      </c>
      <c r="B74" s="253"/>
      <c r="C74" s="711">
        <f>D74/(1+B73)</f>
        <v>44.907896999999998</v>
      </c>
      <c r="D74" s="708">
        <f>D79*((1+$B$73)^3)</f>
        <v>46.255133909999998</v>
      </c>
      <c r="E74" s="708">
        <f t="shared" ref="E74:V74" si="18">E79*((1+$B$73)^3)</f>
        <v>49.150860459999997</v>
      </c>
      <c r="F74" s="708">
        <f t="shared" si="18"/>
        <v>52.232350599999997</v>
      </c>
      <c r="G74" s="708">
        <f t="shared" si="18"/>
        <v>55.5105316</v>
      </c>
      <c r="H74" s="708">
        <f t="shared" si="18"/>
        <v>58.985403459999993</v>
      </c>
      <c r="I74" s="708">
        <f t="shared" si="18"/>
        <v>59.378785180000001</v>
      </c>
      <c r="J74" s="708">
        <f t="shared" si="18"/>
        <v>59.772166900000002</v>
      </c>
      <c r="K74" s="708">
        <f t="shared" si="18"/>
        <v>60.176475889999999</v>
      </c>
      <c r="L74" s="708">
        <f t="shared" si="18"/>
        <v>60.580784879999996</v>
      </c>
      <c r="M74" s="708">
        <f t="shared" si="18"/>
        <v>60.98509387</v>
      </c>
      <c r="N74" s="708">
        <f t="shared" si="18"/>
        <v>57.870821920000004</v>
      </c>
      <c r="O74" s="708">
        <f t="shared" si="18"/>
        <v>54.909531749999999</v>
      </c>
      <c r="P74" s="708">
        <f t="shared" si="18"/>
        <v>52.101223359999999</v>
      </c>
      <c r="Q74" s="708">
        <f t="shared" si="18"/>
        <v>49.445896750000003</v>
      </c>
      <c r="R74" s="708">
        <f t="shared" si="18"/>
        <v>46.921697379999998</v>
      </c>
      <c r="S74" s="708">
        <f t="shared" si="18"/>
        <v>47.293224559999999</v>
      </c>
      <c r="T74" s="708">
        <f t="shared" si="18"/>
        <v>47.66475174</v>
      </c>
      <c r="U74" s="708">
        <f t="shared" si="18"/>
        <v>48.036278920000001</v>
      </c>
      <c r="V74" s="708">
        <f t="shared" si="18"/>
        <v>48.036278920000001</v>
      </c>
      <c r="W74" s="708">
        <f>W79*((1+$B$73)^3)</f>
        <v>0</v>
      </c>
      <c r="X74" s="148"/>
      <c r="Y74" s="148"/>
      <c r="Z74" s="148"/>
      <c r="AA74" s="559"/>
    </row>
    <row r="75" spans="1:33">
      <c r="A75" s="449" t="s">
        <v>335</v>
      </c>
      <c r="B75" s="253"/>
      <c r="C75" s="708">
        <v>0</v>
      </c>
      <c r="D75" s="708">
        <v>0</v>
      </c>
      <c r="E75" s="708">
        <v>0</v>
      </c>
      <c r="F75" s="708">
        <v>0</v>
      </c>
      <c r="G75" s="708">
        <v>0</v>
      </c>
      <c r="H75" s="708">
        <v>0</v>
      </c>
      <c r="I75" s="708">
        <v>0</v>
      </c>
      <c r="J75" s="708">
        <v>0</v>
      </c>
      <c r="K75" s="708">
        <v>0</v>
      </c>
      <c r="L75" s="708">
        <v>0</v>
      </c>
      <c r="M75" s="708">
        <v>0</v>
      </c>
      <c r="N75" s="708">
        <v>0</v>
      </c>
      <c r="O75" s="708">
        <v>0</v>
      </c>
      <c r="P75" s="708">
        <v>0</v>
      </c>
      <c r="Q75" s="708">
        <v>0</v>
      </c>
      <c r="R75" s="708">
        <v>0</v>
      </c>
      <c r="S75" s="708">
        <v>0</v>
      </c>
      <c r="T75" s="708">
        <v>0</v>
      </c>
      <c r="U75" s="708">
        <v>0</v>
      </c>
      <c r="V75" s="708">
        <v>0</v>
      </c>
      <c r="W75" s="708">
        <v>0</v>
      </c>
      <c r="X75" s="148"/>
      <c r="Y75" s="148"/>
      <c r="Z75" s="148"/>
      <c r="AA75" s="559"/>
    </row>
    <row r="76" spans="1:33">
      <c r="A76" s="449" t="s">
        <v>336</v>
      </c>
      <c r="B76" s="253"/>
      <c r="C76" s="708">
        <f>IF('Project Assumptions'!$C$77="yes",C25,C23)</f>
        <v>27.26</v>
      </c>
      <c r="D76" s="708">
        <f>IF('Project Assumptions'!$C$77="yes",D25,D23)</f>
        <v>27.26</v>
      </c>
      <c r="E76" s="708">
        <f>IF('Project Assumptions'!$C$77="yes",E25,E23)</f>
        <v>27.26</v>
      </c>
      <c r="F76" s="708">
        <f>IF('Project Assumptions'!$C$77="yes",F25,F23)</f>
        <v>27.26</v>
      </c>
      <c r="G76" s="708">
        <f>IF('Project Assumptions'!$C$77="yes",G25,G23)</f>
        <v>27.26</v>
      </c>
      <c r="H76" s="708">
        <f>IF('Project Assumptions'!$C$77="yes",H25,H23)</f>
        <v>27.26</v>
      </c>
      <c r="I76" s="708">
        <f>IF('Project Assumptions'!$C$77="yes",I25,I23)</f>
        <v>27.26</v>
      </c>
      <c r="J76" s="708">
        <f>IF('Project Assumptions'!$C$77="yes",J25,J23)</f>
        <v>27.26</v>
      </c>
      <c r="K76" s="708">
        <f>IF('Project Assumptions'!$C$77="yes",K25,K23)</f>
        <v>27.26</v>
      </c>
      <c r="L76" s="708">
        <f>IF('Project Assumptions'!$C$77="yes",L25,L23)</f>
        <v>27.26</v>
      </c>
      <c r="M76" s="708">
        <f>IF('Project Assumptions'!$C$77="yes",M25,M23)</f>
        <v>27.26</v>
      </c>
      <c r="N76" s="708">
        <f>IF('Project Assumptions'!$C$77="yes",N25,N23)</f>
        <v>27.26</v>
      </c>
      <c r="O76" s="708">
        <f>IF('Project Assumptions'!$C$77="yes",O25,O23)</f>
        <v>27.26</v>
      </c>
      <c r="P76" s="708">
        <f>IF('Project Assumptions'!$C$77="yes",P25,P23)</f>
        <v>27.26</v>
      </c>
      <c r="Q76" s="708">
        <f>IF('Project Assumptions'!$C$77="yes",Q25,Q23)</f>
        <v>27.26</v>
      </c>
      <c r="R76" s="708">
        <f>IF('Project Assumptions'!$C$77="yes",R25,R23)</f>
        <v>27.26</v>
      </c>
      <c r="S76" s="708">
        <f>IF('Project Assumptions'!$C$77="yes",S25,S23)</f>
        <v>27.26</v>
      </c>
      <c r="T76" s="708">
        <f>IF('Project Assumptions'!$C$77="yes",T25,T23)</f>
        <v>27.26</v>
      </c>
      <c r="U76" s="708">
        <f>IF('Project Assumptions'!$C$77="yes",U25,U23)</f>
        <v>27.26</v>
      </c>
      <c r="V76" s="708">
        <f>IF('Project Assumptions'!$C$77="yes",V25,V23)</f>
        <v>27.26</v>
      </c>
      <c r="W76" s="708">
        <f>IF('Project Assumptions'!$C$77="yes",W25,W23)</f>
        <v>27.26</v>
      </c>
      <c r="X76" s="148"/>
      <c r="Y76" s="148"/>
      <c r="Z76" s="148"/>
      <c r="AA76" s="559"/>
    </row>
    <row r="77" spans="1:33">
      <c r="A77" s="560"/>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559"/>
    </row>
    <row r="78" spans="1:33">
      <c r="A78" s="712" t="s">
        <v>369</v>
      </c>
      <c r="B78" s="253" t="s">
        <v>372</v>
      </c>
      <c r="C78" s="713">
        <v>39.75</v>
      </c>
      <c r="D78" s="713">
        <v>42.43</v>
      </c>
      <c r="E78" s="713">
        <v>45.29</v>
      </c>
      <c r="F78" s="713">
        <v>48.34</v>
      </c>
      <c r="G78" s="713">
        <v>51.59</v>
      </c>
      <c r="H78" s="713">
        <v>55.07</v>
      </c>
      <c r="I78" s="713">
        <v>55.52</v>
      </c>
      <c r="J78" s="713">
        <v>55.97</v>
      </c>
      <c r="K78" s="713">
        <v>56.43</v>
      </c>
      <c r="L78" s="713">
        <v>56.89</v>
      </c>
      <c r="M78" s="713">
        <v>57.36</v>
      </c>
      <c r="N78" s="713">
        <v>55.15</v>
      </c>
      <c r="O78" s="713">
        <v>53.04</v>
      </c>
      <c r="P78" s="713">
        <v>51</v>
      </c>
      <c r="Q78" s="713">
        <v>49.04</v>
      </c>
      <c r="R78" s="713">
        <v>47.16</v>
      </c>
      <c r="S78" s="713">
        <v>47.8</v>
      </c>
      <c r="T78" s="713">
        <v>48.44</v>
      </c>
      <c r="U78" s="713">
        <v>49.1</v>
      </c>
      <c r="V78" s="713">
        <v>49.1</v>
      </c>
      <c r="W78" s="148"/>
      <c r="X78" s="148"/>
      <c r="Y78" s="148"/>
      <c r="Z78" s="148"/>
      <c r="AA78" s="559"/>
    </row>
    <row r="79" spans="1:33">
      <c r="A79" s="714" t="s">
        <v>370</v>
      </c>
      <c r="B79" s="545" t="s">
        <v>372</v>
      </c>
      <c r="C79" s="715">
        <v>39.83</v>
      </c>
      <c r="D79" s="715">
        <v>42.33</v>
      </c>
      <c r="E79" s="715">
        <v>44.98</v>
      </c>
      <c r="F79" s="715">
        <v>47.8</v>
      </c>
      <c r="G79" s="715">
        <v>50.8</v>
      </c>
      <c r="H79" s="715">
        <v>53.98</v>
      </c>
      <c r="I79" s="715">
        <v>54.34</v>
      </c>
      <c r="J79" s="715">
        <v>54.7</v>
      </c>
      <c r="K79" s="715">
        <v>55.07</v>
      </c>
      <c r="L79" s="715">
        <v>55.44</v>
      </c>
      <c r="M79" s="715">
        <v>55.81</v>
      </c>
      <c r="N79" s="715">
        <v>52.96</v>
      </c>
      <c r="O79" s="715">
        <v>50.25</v>
      </c>
      <c r="P79" s="715">
        <v>47.68</v>
      </c>
      <c r="Q79" s="715">
        <v>45.25</v>
      </c>
      <c r="R79" s="715">
        <v>42.94</v>
      </c>
      <c r="S79" s="715">
        <v>43.28</v>
      </c>
      <c r="T79" s="715">
        <v>43.62</v>
      </c>
      <c r="U79" s="715">
        <v>43.96</v>
      </c>
      <c r="V79" s="715">
        <v>43.96</v>
      </c>
      <c r="W79" s="551"/>
      <c r="X79" s="551"/>
      <c r="Y79" s="551"/>
      <c r="Z79" s="551"/>
      <c r="AA79" s="552"/>
    </row>
    <row r="81" spans="1:33" ht="12.6" customHeight="1"/>
    <row r="83" spans="1:33" s="42" customFormat="1" ht="12.6" customHeight="1">
      <c r="A83" s="205"/>
      <c r="B83" s="59"/>
      <c r="C83" s="665"/>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205"/>
      <c r="AC83" s="205"/>
      <c r="AD83" s="205"/>
      <c r="AE83" s="205"/>
      <c r="AF83" s="205"/>
      <c r="AG83" s="205"/>
    </row>
    <row r="84" spans="1:33" s="42" customFormat="1" ht="12.6" customHeight="1">
      <c r="A84" s="292"/>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c r="AE84" s="205"/>
      <c r="AF84" s="205"/>
      <c r="AG84" s="205"/>
    </row>
  </sheetData>
  <customSheetViews>
    <customSheetView guid="{9D7575BF-255B-11D2-8267-00A0D1027254}"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773475A7-2559-11D2-A5F6-0060080AEB13}"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 footer="0"/>
  <pageSetup scale="46" orientation="landscape" r:id="rId3"/>
  <headerFooter alignWithMargins="0">
    <oddFooter>&amp;L&amp;D   &amp;T&amp;R&amp;F
&amp;A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HT72"/>
  <sheetViews>
    <sheetView zoomScale="75" zoomScaleNormal="75" workbookViewId="0">
      <selection activeCell="C12" sqref="C12"/>
    </sheetView>
  </sheetViews>
  <sheetFormatPr defaultRowHeight="12.75"/>
  <cols>
    <col min="1" max="1" width="18.7109375" style="247" customWidth="1"/>
    <col min="2" max="2" width="15.85546875" style="247" customWidth="1"/>
    <col min="3" max="3" width="10.42578125" style="247" bestFit="1" customWidth="1"/>
    <col min="4" max="33" width="9.140625" style="247"/>
  </cols>
  <sheetData>
    <row r="1" spans="1:228" ht="20.25">
      <c r="A1" s="501" t="str">
        <f>'Project Assumptions'!$A$2</f>
        <v>GLEASON, TN</v>
      </c>
      <c r="B1" s="502"/>
    </row>
    <row r="2" spans="1:228">
      <c r="A2" s="503" t="s">
        <v>5</v>
      </c>
      <c r="B2" s="504"/>
    </row>
    <row r="3" spans="1:228" s="1" customFormat="1" ht="12.6" customHeight="1">
      <c r="A3" s="279"/>
      <c r="B3" s="247"/>
      <c r="C3" s="257">
        <f>'Book Income Statement'!D3</f>
        <v>1</v>
      </c>
      <c r="D3" s="257">
        <f>'Book Income Statement'!E3</f>
        <v>2</v>
      </c>
      <c r="E3" s="257">
        <f>'Book Income Statement'!F3</f>
        <v>3</v>
      </c>
      <c r="F3" s="257">
        <f>'Book Income Statement'!G3</f>
        <v>4</v>
      </c>
      <c r="G3" s="257">
        <f>'Book Income Statement'!H3</f>
        <v>5</v>
      </c>
      <c r="H3" s="257">
        <f>'Book Income Statement'!I3</f>
        <v>6</v>
      </c>
      <c r="I3" s="258">
        <f>'Book Income Statement'!J3</f>
        <v>7</v>
      </c>
      <c r="J3" s="257">
        <f>'Book Income Statement'!K3</f>
        <v>8</v>
      </c>
      <c r="K3" s="257">
        <f>'Book Income Statement'!L3</f>
        <v>9</v>
      </c>
      <c r="L3" s="257">
        <f>'Book Income Statement'!M3</f>
        <v>10</v>
      </c>
      <c r="M3" s="257">
        <f>'Book Income Statement'!N3</f>
        <v>11</v>
      </c>
      <c r="N3" s="257">
        <f>'Book Income Statement'!O3</f>
        <v>12</v>
      </c>
      <c r="O3" s="258">
        <f>'Book Income Statement'!P3</f>
        <v>13</v>
      </c>
      <c r="P3" s="257">
        <f>'Book Income Statement'!Q3</f>
        <v>14</v>
      </c>
      <c r="Q3" s="257">
        <f>'Book Income Statement'!R3</f>
        <v>15</v>
      </c>
      <c r="R3" s="257">
        <f>'Book Income Statement'!S3</f>
        <v>16</v>
      </c>
      <c r="S3" s="257">
        <f>'Book Income Statement'!T3</f>
        <v>17</v>
      </c>
      <c r="T3" s="257">
        <f>'Book Income Statement'!U3</f>
        <v>18</v>
      </c>
      <c r="U3" s="258">
        <f>'Book Income Statement'!V3</f>
        <v>19</v>
      </c>
      <c r="V3" s="257">
        <f>'Book Income Statement'!W3</f>
        <v>20</v>
      </c>
      <c r="W3" s="257">
        <f>'Book Income Statement'!X3</f>
        <v>21</v>
      </c>
      <c r="X3" s="257"/>
      <c r="Y3" s="257"/>
      <c r="Z3" s="257"/>
      <c r="AA3" s="258"/>
      <c r="AB3" s="257"/>
      <c r="AC3" s="280"/>
      <c r="AD3" s="247"/>
      <c r="AE3" s="257"/>
      <c r="AF3" s="257"/>
      <c r="AG3" s="257"/>
    </row>
    <row r="4" spans="1:228" s="1" customFormat="1" ht="12.6" customHeight="1">
      <c r="A4" s="436"/>
      <c r="B4" s="437"/>
      <c r="C4" s="505">
        <f>'Book Income Statement'!D4</f>
        <v>2000</v>
      </c>
      <c r="D4" s="505">
        <f>'Book Income Statement'!E4</f>
        <v>2001</v>
      </c>
      <c r="E4" s="505">
        <f>'Book Income Statement'!F4</f>
        <v>2002</v>
      </c>
      <c r="F4" s="505">
        <f>'Book Income Statement'!G4</f>
        <v>2003</v>
      </c>
      <c r="G4" s="505">
        <f>'Book Income Statement'!H4</f>
        <v>2004</v>
      </c>
      <c r="H4" s="505">
        <f>'Book Income Statement'!I4</f>
        <v>2005</v>
      </c>
      <c r="I4" s="505">
        <f>'Book Income Statement'!J4</f>
        <v>2006</v>
      </c>
      <c r="J4" s="505">
        <f>'Book Income Statement'!K4</f>
        <v>2007</v>
      </c>
      <c r="K4" s="505">
        <f>'Book Income Statement'!L4</f>
        <v>2008</v>
      </c>
      <c r="L4" s="505">
        <f>'Book Income Statement'!M4</f>
        <v>2009</v>
      </c>
      <c r="M4" s="505">
        <f>'Book Income Statement'!N4</f>
        <v>2010</v>
      </c>
      <c r="N4" s="505">
        <f>'Book Income Statement'!O4</f>
        <v>2011</v>
      </c>
      <c r="O4" s="505">
        <f>'Book Income Statement'!P4</f>
        <v>2012</v>
      </c>
      <c r="P4" s="505">
        <f>'Book Income Statement'!Q4</f>
        <v>2013</v>
      </c>
      <c r="Q4" s="505">
        <f>'Book Income Statement'!R4</f>
        <v>2014</v>
      </c>
      <c r="R4" s="505">
        <f>'Book Income Statement'!S4</f>
        <v>2015</v>
      </c>
      <c r="S4" s="505">
        <f>'Book Income Statement'!T4</f>
        <v>2016</v>
      </c>
      <c r="T4" s="505">
        <f>'Book Income Statement'!U4</f>
        <v>2017</v>
      </c>
      <c r="U4" s="505">
        <f>'Book Income Statement'!V4</f>
        <v>2018</v>
      </c>
      <c r="V4" s="505">
        <f>'Book Income Statement'!W4</f>
        <v>2019</v>
      </c>
      <c r="W4" s="506">
        <f>'Book Income Statement'!X4</f>
        <v>2020</v>
      </c>
      <c r="X4" s="259"/>
      <c r="Y4" s="259"/>
      <c r="Z4" s="259"/>
      <c r="AA4" s="259"/>
      <c r="AB4" s="259"/>
      <c r="AC4" s="259"/>
      <c r="AD4" s="247"/>
      <c r="AE4" s="259"/>
      <c r="AF4" s="259"/>
      <c r="AG4" s="259"/>
      <c r="AH4" s="32"/>
      <c r="AI4" s="32"/>
      <c r="AJ4" s="32"/>
      <c r="AK4" s="32"/>
      <c r="AL4" s="32"/>
      <c r="AM4" s="32"/>
      <c r="AN4" s="32"/>
      <c r="AO4" s="32"/>
      <c r="AP4" s="32"/>
      <c r="AQ4" s="32"/>
      <c r="AR4" s="32"/>
      <c r="AS4" s="32"/>
      <c r="AT4" s="32"/>
      <c r="AU4" s="32"/>
      <c r="AV4" s="32"/>
      <c r="AW4" s="32"/>
      <c r="AX4" s="32"/>
      <c r="AY4" s="32"/>
      <c r="AZ4" s="32"/>
    </row>
    <row r="5" spans="1:228" s="45" customFormat="1" ht="15.75">
      <c r="A5" s="670" t="s">
        <v>634</v>
      </c>
      <c r="B5" s="301"/>
      <c r="C5" s="301"/>
      <c r="D5" s="301"/>
      <c r="E5" s="301"/>
      <c r="F5" s="301"/>
      <c r="G5" s="301"/>
      <c r="H5" s="301"/>
      <c r="I5" s="301"/>
      <c r="J5" s="301"/>
      <c r="K5" s="301"/>
      <c r="L5" s="301"/>
      <c r="M5" s="301"/>
      <c r="N5" s="301"/>
      <c r="O5" s="301"/>
      <c r="P5" s="301"/>
      <c r="Q5" s="301"/>
      <c r="R5" s="301"/>
      <c r="S5" s="301"/>
      <c r="T5" s="301"/>
      <c r="U5" s="301"/>
      <c r="V5" s="301"/>
      <c r="W5" s="684"/>
      <c r="X5" s="301"/>
      <c r="Y5" s="301"/>
      <c r="Z5" s="301"/>
      <c r="AA5" s="301"/>
      <c r="AB5" s="253"/>
      <c r="AC5" s="253"/>
      <c r="AD5" s="253"/>
      <c r="AE5" s="253"/>
      <c r="AF5" s="253"/>
      <c r="AG5" s="253"/>
    </row>
    <row r="6" spans="1:228" s="3" customFormat="1" ht="12.6" customHeight="1">
      <c r="A6" s="449" t="s">
        <v>95</v>
      </c>
      <c r="B6" s="425"/>
      <c r="C6" s="985">
        <v>0</v>
      </c>
      <c r="D6" s="985">
        <v>0</v>
      </c>
      <c r="E6" s="985">
        <v>0</v>
      </c>
      <c r="F6" s="985">
        <v>0</v>
      </c>
      <c r="G6" s="985">
        <v>0</v>
      </c>
      <c r="H6" s="985">
        <v>0</v>
      </c>
      <c r="I6" s="985">
        <v>0</v>
      </c>
      <c r="J6" s="985">
        <v>0</v>
      </c>
      <c r="K6" s="985">
        <v>0</v>
      </c>
      <c r="L6" s="985">
        <v>0</v>
      </c>
      <c r="M6" s="985">
        <v>0</v>
      </c>
      <c r="N6" s="985">
        <v>0</v>
      </c>
      <c r="O6" s="985">
        <v>0</v>
      </c>
      <c r="P6" s="985">
        <v>0</v>
      </c>
      <c r="Q6" s="985">
        <v>0</v>
      </c>
      <c r="R6" s="985">
        <v>0</v>
      </c>
      <c r="S6" s="985">
        <v>0</v>
      </c>
      <c r="T6" s="985">
        <v>0</v>
      </c>
      <c r="U6" s="985">
        <v>0</v>
      </c>
      <c r="V6" s="985">
        <v>0</v>
      </c>
      <c r="W6" s="986">
        <v>0</v>
      </c>
      <c r="X6" s="716"/>
      <c r="Y6" s="716"/>
      <c r="Z6" s="716"/>
      <c r="AA6" s="716"/>
      <c r="AB6" s="257"/>
      <c r="AC6" s="257"/>
      <c r="AD6" s="257"/>
      <c r="AE6" s="257"/>
      <c r="AF6" s="257"/>
      <c r="AG6" s="257"/>
    </row>
    <row r="7" spans="1:228" s="3" customFormat="1" ht="12.6" customHeight="1">
      <c r="A7" s="449" t="s">
        <v>96</v>
      </c>
      <c r="B7" s="425"/>
      <c r="C7" s="985">
        <v>0</v>
      </c>
      <c r="D7" s="985">
        <v>0</v>
      </c>
      <c r="E7" s="985">
        <v>0</v>
      </c>
      <c r="F7" s="985">
        <v>0</v>
      </c>
      <c r="G7" s="985">
        <v>0</v>
      </c>
      <c r="H7" s="985">
        <v>0</v>
      </c>
      <c r="I7" s="985">
        <v>0</v>
      </c>
      <c r="J7" s="985">
        <v>0</v>
      </c>
      <c r="K7" s="985">
        <v>0</v>
      </c>
      <c r="L7" s="985">
        <v>0</v>
      </c>
      <c r="M7" s="985">
        <v>0</v>
      </c>
      <c r="N7" s="985">
        <v>0</v>
      </c>
      <c r="O7" s="985">
        <v>0</v>
      </c>
      <c r="P7" s="985">
        <v>0</v>
      </c>
      <c r="Q7" s="985">
        <v>0</v>
      </c>
      <c r="R7" s="985">
        <v>0</v>
      </c>
      <c r="S7" s="985">
        <v>0</v>
      </c>
      <c r="T7" s="985">
        <v>0</v>
      </c>
      <c r="U7" s="985">
        <v>0</v>
      </c>
      <c r="V7" s="985">
        <v>0</v>
      </c>
      <c r="W7" s="986">
        <v>0</v>
      </c>
      <c r="X7" s="716"/>
      <c r="Y7" s="716"/>
      <c r="Z7" s="716"/>
      <c r="AA7" s="716"/>
      <c r="AB7" s="257"/>
      <c r="AC7" s="257"/>
      <c r="AD7" s="257"/>
      <c r="AE7" s="257"/>
      <c r="AF7" s="257"/>
      <c r="AG7" s="257"/>
    </row>
    <row r="8" spans="1:228" s="3" customFormat="1" ht="12.6" customHeight="1">
      <c r="A8" s="449" t="s">
        <v>86</v>
      </c>
      <c r="B8" s="425"/>
      <c r="C8" s="453">
        <f>'Project Assumptions'!$I$10*(1-C6)</f>
        <v>510</v>
      </c>
      <c r="D8" s="453">
        <f>'Project Assumptions'!$I$10*(1-D6)</f>
        <v>510</v>
      </c>
      <c r="E8" s="453">
        <f>'Project Assumptions'!$I$10*(1-E6)</f>
        <v>510</v>
      </c>
      <c r="F8" s="453">
        <f>'Project Assumptions'!$I$10*(1-F6)</f>
        <v>510</v>
      </c>
      <c r="G8" s="453">
        <f>'Project Assumptions'!$I$10*(1-G6)</f>
        <v>510</v>
      </c>
      <c r="H8" s="453">
        <f>'Project Assumptions'!$I$10*(1-H6)</f>
        <v>510</v>
      </c>
      <c r="I8" s="453">
        <f>'Project Assumptions'!$I$10*(1-I6)</f>
        <v>510</v>
      </c>
      <c r="J8" s="453">
        <f>'Project Assumptions'!$I$10*(1-J6)</f>
        <v>510</v>
      </c>
      <c r="K8" s="453">
        <f>'Project Assumptions'!$I$10*(1-K6)</f>
        <v>510</v>
      </c>
      <c r="L8" s="453">
        <f>'Project Assumptions'!$I$10*(1-L6)</f>
        <v>510</v>
      </c>
      <c r="M8" s="453">
        <f>'Project Assumptions'!$I$10*(1-M6)</f>
        <v>510</v>
      </c>
      <c r="N8" s="453">
        <f>'Project Assumptions'!$I$10*(1-N6)</f>
        <v>510</v>
      </c>
      <c r="O8" s="453">
        <f>'Project Assumptions'!$I$10*(1-O6)</f>
        <v>510</v>
      </c>
      <c r="P8" s="453">
        <f>'Project Assumptions'!$I$10*(1-P6)</f>
        <v>510</v>
      </c>
      <c r="Q8" s="453">
        <f>'Project Assumptions'!$I$10*(1-Q6)</f>
        <v>510</v>
      </c>
      <c r="R8" s="453">
        <f>'Project Assumptions'!$I$10*(1-R6)</f>
        <v>510</v>
      </c>
      <c r="S8" s="453">
        <f>'Project Assumptions'!$I$10*(1-S6)</f>
        <v>510</v>
      </c>
      <c r="T8" s="453">
        <f>'Project Assumptions'!$I$10*(1-T6)</f>
        <v>510</v>
      </c>
      <c r="U8" s="453">
        <f>'Project Assumptions'!$I$10*(1-U6)</f>
        <v>510</v>
      </c>
      <c r="V8" s="453">
        <f>'Project Assumptions'!$I$10*(1-V6)</f>
        <v>510</v>
      </c>
      <c r="W8" s="487">
        <f>'Project Assumptions'!$I$10*(1-W6)</f>
        <v>510</v>
      </c>
      <c r="X8" s="267"/>
      <c r="Y8" s="267"/>
      <c r="Z8" s="267"/>
      <c r="AA8" s="267"/>
      <c r="AB8" s="257"/>
      <c r="AC8" s="257"/>
      <c r="AD8" s="257"/>
      <c r="AE8" s="257"/>
      <c r="AF8" s="257"/>
      <c r="AG8" s="257"/>
    </row>
    <row r="9" spans="1:228" s="3" customFormat="1" ht="12.6" customHeight="1">
      <c r="A9" s="449"/>
      <c r="B9" s="425"/>
      <c r="C9" s="453"/>
      <c r="D9" s="453"/>
      <c r="E9" s="453"/>
      <c r="F9" s="453"/>
      <c r="G9" s="453"/>
      <c r="H9" s="453"/>
      <c r="I9" s="453"/>
      <c r="J9" s="453"/>
      <c r="K9" s="453"/>
      <c r="L9" s="453"/>
      <c r="M9" s="453"/>
      <c r="N9" s="453"/>
      <c r="O9" s="453"/>
      <c r="P9" s="453"/>
      <c r="Q9" s="453"/>
      <c r="R9" s="453"/>
      <c r="S9" s="453"/>
      <c r="T9" s="453"/>
      <c r="U9" s="453"/>
      <c r="V9" s="453"/>
      <c r="W9" s="487"/>
      <c r="X9" s="267"/>
      <c r="Y9" s="267"/>
      <c r="Z9" s="267"/>
      <c r="AA9" s="267"/>
      <c r="AB9" s="257"/>
      <c r="AC9" s="257"/>
      <c r="AD9" s="257"/>
      <c r="AE9" s="257"/>
      <c r="AF9" s="257"/>
      <c r="AG9" s="257"/>
    </row>
    <row r="10" spans="1:228" s="3" customFormat="1" ht="12.6" customHeight="1">
      <c r="A10" s="449" t="s">
        <v>623</v>
      </c>
      <c r="B10" s="425"/>
      <c r="C10" s="453">
        <f>IF(C3&gt;ProjectLife+1,0,C8)</f>
        <v>510</v>
      </c>
      <c r="D10" s="453">
        <f>IF(D3&gt;ProjectLife+1,0,D8*'PPA Assumptions &amp;Summary'!D6/12)</f>
        <v>510</v>
      </c>
      <c r="E10" s="453">
        <f>IF(E3&gt;ProjectLife+1,0,E8*'PPA Assumptions &amp;Summary'!E6/12)</f>
        <v>510</v>
      </c>
      <c r="F10" s="453">
        <f>IF(F3&gt;ProjectLife+1,0,F8*'PPA Assumptions &amp;Summary'!F6/12)</f>
        <v>212.5</v>
      </c>
      <c r="G10" s="453">
        <f>IF(G3&gt;ProjectLife+1,0,G8*'PPA Assumptions &amp;Summary'!G6/12)</f>
        <v>0</v>
      </c>
      <c r="H10" s="453">
        <f>IF(H3&gt;ProjectLife+1,0,H8*'PPA Assumptions &amp;Summary'!H6/12)</f>
        <v>0</v>
      </c>
      <c r="I10" s="453">
        <f>IF(I3&gt;ProjectLife+1,0,I8*'PPA Assumptions &amp;Summary'!I6/12)</f>
        <v>0</v>
      </c>
      <c r="J10" s="453">
        <f>IF(J3&gt;ProjectLife+1,0,J8*'PPA Assumptions &amp;Summary'!J6/12)</f>
        <v>0</v>
      </c>
      <c r="K10" s="453">
        <f>IF(K3&gt;ProjectLife+1,0,K8*'PPA Assumptions &amp;Summary'!K6/12)</f>
        <v>0</v>
      </c>
      <c r="L10" s="453">
        <f>IF(L3&gt;ProjectLife+1,0,L8*'PPA Assumptions &amp;Summary'!L6/12)</f>
        <v>0</v>
      </c>
      <c r="M10" s="453">
        <f>IF(M3&gt;ProjectLife+1,0,M8*'PPA Assumptions &amp;Summary'!M6/12)</f>
        <v>0</v>
      </c>
      <c r="N10" s="453">
        <f>IF(N3&gt;ProjectLife+1,0,N8*'PPA Assumptions &amp;Summary'!N6/12)</f>
        <v>0</v>
      </c>
      <c r="O10" s="453">
        <f>IF(O3&gt;ProjectLife+1,0,O8*'PPA Assumptions &amp;Summary'!O6/12)</f>
        <v>0</v>
      </c>
      <c r="P10" s="453">
        <f>IF(P3&gt;ProjectLife+1,0,P8*'PPA Assumptions &amp;Summary'!P6/12)</f>
        <v>0</v>
      </c>
      <c r="Q10" s="453">
        <f>IF(Q3&gt;ProjectLife+1,0,Q8*'PPA Assumptions &amp;Summary'!Q6/12)</f>
        <v>0</v>
      </c>
      <c r="R10" s="453">
        <f>IF(R3&gt;ProjectLife+1,0,R8*'PPA Assumptions &amp;Summary'!R6/12)</f>
        <v>0</v>
      </c>
      <c r="S10" s="453">
        <f>IF(S3&gt;ProjectLife+1,0,S8*'PPA Assumptions &amp;Summary'!S6/12)</f>
        <v>0</v>
      </c>
      <c r="T10" s="453">
        <f>IF(T3&gt;ProjectLife+1,0,T8*'PPA Assumptions &amp;Summary'!T6/12)</f>
        <v>0</v>
      </c>
      <c r="U10" s="453">
        <f>IF(U3&gt;ProjectLife+1,0,U8*'PPA Assumptions &amp;Summary'!U6/12)</f>
        <v>0</v>
      </c>
      <c r="V10" s="453">
        <f>IF(V3&gt;ProjectLife+1,0,V8*'PPA Assumptions &amp;Summary'!V6/12)</f>
        <v>0</v>
      </c>
      <c r="W10" s="453">
        <f>IF(W3&gt;ProjectLife+1,0,W8*'PPA Assumptions &amp;Summary'!W6/12)</f>
        <v>0</v>
      </c>
      <c r="X10" s="267"/>
      <c r="Y10" s="267"/>
      <c r="Z10" s="267"/>
      <c r="AA10" s="267"/>
      <c r="AB10" s="267"/>
      <c r="AC10" s="267"/>
      <c r="AD10" s="267"/>
      <c r="AE10" s="267"/>
      <c r="AF10" s="267"/>
      <c r="AG10" s="267"/>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row>
    <row r="11" spans="1:228" s="3" customFormat="1" ht="12.6" customHeight="1">
      <c r="A11" s="449" t="s">
        <v>87</v>
      </c>
      <c r="B11" s="425"/>
      <c r="C11" s="474">
        <f>IF(C3&gt;'Project Assumptions'!$I$15,0,'Project Assumptions'!$G$14)</f>
        <v>1200</v>
      </c>
      <c r="D11" s="474">
        <f>IF(D3&gt;'Project Assumptions'!$I$15,0,'Project Assumptions'!$G$14)</f>
        <v>1200</v>
      </c>
      <c r="E11" s="474">
        <f>IF(E3&gt;'Project Assumptions'!$I$15,0,'Project Assumptions'!$G$14)</f>
        <v>1200</v>
      </c>
      <c r="F11" s="474">
        <f>IF(F3&gt;'Project Assumptions'!$I$15,0,'Project Assumptions'!$G$14)</f>
        <v>1200</v>
      </c>
      <c r="G11" s="474">
        <f>IF(G3&gt;'Project Assumptions'!$I$15,0,'Project Assumptions'!$G$14)</f>
        <v>1200</v>
      </c>
      <c r="H11" s="474">
        <f>IF(H3&gt;'Project Assumptions'!$I$15,0,'Project Assumptions'!$G$14)</f>
        <v>1200</v>
      </c>
      <c r="I11" s="474">
        <f>IF(I3&gt;'Project Assumptions'!$I$15,0,'Project Assumptions'!$G$14)</f>
        <v>1200</v>
      </c>
      <c r="J11" s="474">
        <f>IF(J3&gt;'Project Assumptions'!$I$15,0,'Project Assumptions'!$G$14)</f>
        <v>1200</v>
      </c>
      <c r="K11" s="474">
        <f>IF(K3&gt;'Project Assumptions'!$I$15,0,'Project Assumptions'!$G$14)</f>
        <v>1200</v>
      </c>
      <c r="L11" s="474">
        <f>IF(L3&gt;'Project Assumptions'!$I$15,0,'Project Assumptions'!$G$14)</f>
        <v>1200</v>
      </c>
      <c r="M11" s="474">
        <f>IF(M3&gt;'Project Assumptions'!$I$15,0,'Project Assumptions'!$G$14)</f>
        <v>1200</v>
      </c>
      <c r="N11" s="474">
        <f>IF(N3&gt;'Project Assumptions'!$I$15,0,'Project Assumptions'!$G$14)</f>
        <v>1200</v>
      </c>
      <c r="O11" s="474">
        <f>IF(O3&gt;'Project Assumptions'!$I$15,0,'Project Assumptions'!$G$14)</f>
        <v>1200</v>
      </c>
      <c r="P11" s="474">
        <f>IF(P3&gt;'Project Assumptions'!$I$15,0,'Project Assumptions'!$G$14)</f>
        <v>1200</v>
      </c>
      <c r="Q11" s="474">
        <f>IF(Q3&gt;'Project Assumptions'!$I$15,0,'Project Assumptions'!$G$14)</f>
        <v>1200</v>
      </c>
      <c r="R11" s="474">
        <f>IF(R3&gt;'Project Assumptions'!$I$15,0,'Project Assumptions'!$G$14)</f>
        <v>1200</v>
      </c>
      <c r="S11" s="474">
        <f>IF(S3&gt;'Project Assumptions'!$I$15,0,'Project Assumptions'!$G$14)</f>
        <v>1200</v>
      </c>
      <c r="T11" s="474">
        <f>IF(T3&gt;'Project Assumptions'!$I$15,0,'Project Assumptions'!$G$14)</f>
        <v>1200</v>
      </c>
      <c r="U11" s="474">
        <f>IF(U3&gt;'Project Assumptions'!$I$15,0,'Project Assumptions'!$G$14)</f>
        <v>1200</v>
      </c>
      <c r="V11" s="474">
        <f>IF(V3&gt;'Project Assumptions'!$I$15,0,'Project Assumptions'!$G$14)</f>
        <v>1200</v>
      </c>
      <c r="W11" s="475">
        <f>IF(W3&gt;'Project Assumptions'!$I$15+1,0,'Project Assumptions'!$G$14)</f>
        <v>1200</v>
      </c>
      <c r="X11" s="431"/>
      <c r="Y11" s="431"/>
      <c r="Z11" s="431"/>
      <c r="AA11" s="431"/>
      <c r="AB11" s="257"/>
      <c r="AC11" s="257"/>
      <c r="AD11" s="257"/>
      <c r="AE11" s="257"/>
      <c r="AF11" s="257"/>
      <c r="AG11" s="257"/>
    </row>
    <row r="12" spans="1:228" s="3" customFormat="1" ht="12.6" customHeight="1">
      <c r="A12" s="677" t="s">
        <v>139</v>
      </c>
      <c r="B12" s="461"/>
      <c r="C12" s="987">
        <f>IF(C3&gt;'Project Assumptions'!$I$15,0,C11*C10)</f>
        <v>612000</v>
      </c>
      <c r="D12" s="987">
        <f>IF(D3&gt;'Project Assumptions'!$I$15,0,D11*D10)</f>
        <v>612000</v>
      </c>
      <c r="E12" s="987">
        <f>IF(E3&gt;'Project Assumptions'!$I$15,0,E11*E10)</f>
        <v>612000</v>
      </c>
      <c r="F12" s="987">
        <f>IF(F3&gt;'Project Assumptions'!$I$15,0,F11*F10)</f>
        <v>255000</v>
      </c>
      <c r="G12" s="987">
        <f>IF(G3&gt;'Project Assumptions'!$I$15,0,G11*G10)</f>
        <v>0</v>
      </c>
      <c r="H12" s="987">
        <f>IF(H3&gt;'Project Assumptions'!$I$15,0,H11*H10)</f>
        <v>0</v>
      </c>
      <c r="I12" s="987">
        <f>IF(I3&gt;'Project Assumptions'!$I$15,0,I11*I10)</f>
        <v>0</v>
      </c>
      <c r="J12" s="987">
        <f>IF(J3&gt;'Project Assumptions'!$I$15,0,J11*J10)</f>
        <v>0</v>
      </c>
      <c r="K12" s="987">
        <f>IF(K3&gt;'Project Assumptions'!$I$15,0,K11*K10)</f>
        <v>0</v>
      </c>
      <c r="L12" s="987">
        <f>IF(L3&gt;'Project Assumptions'!$I$15,0,L11*L10)</f>
        <v>0</v>
      </c>
      <c r="M12" s="987">
        <f>IF(M3&gt;'Project Assumptions'!$I$15,0,M11*M10)</f>
        <v>0</v>
      </c>
      <c r="N12" s="987">
        <f>IF(N3&gt;'Project Assumptions'!$I$15,0,N11*N10)</f>
        <v>0</v>
      </c>
      <c r="O12" s="987">
        <f>IF(O3&gt;'Project Assumptions'!$I$15,0,O11*O10)</f>
        <v>0</v>
      </c>
      <c r="P12" s="987">
        <f>IF(P3&gt;'Project Assumptions'!$I$15,0,P11*P10)</f>
        <v>0</v>
      </c>
      <c r="Q12" s="987">
        <f>IF(Q3&gt;'Project Assumptions'!$I$15,0,Q11*Q10)</f>
        <v>0</v>
      </c>
      <c r="R12" s="987">
        <f>IF(R3&gt;'Project Assumptions'!$I$15,0,R11*R10)</f>
        <v>0</v>
      </c>
      <c r="S12" s="987">
        <f>IF(S3&gt;'Project Assumptions'!$I$15,0,S11*S10)</f>
        <v>0</v>
      </c>
      <c r="T12" s="987">
        <f>IF(T3&gt;'Project Assumptions'!$I$15,0,T11*T10)</f>
        <v>0</v>
      </c>
      <c r="U12" s="987">
        <f>IF(U3&gt;'Project Assumptions'!$I$15,0,U11*U10)</f>
        <v>0</v>
      </c>
      <c r="V12" s="987">
        <f>IF(V3&gt;'Project Assumptions'!$I$15,0,V11*V10)</f>
        <v>0</v>
      </c>
      <c r="W12" s="1059">
        <f>IF(W3&gt;'Project Assumptions'!$I$15+1,0,W11*W10)</f>
        <v>0</v>
      </c>
      <c r="X12" s="266"/>
      <c r="Y12" s="266"/>
      <c r="Z12" s="266"/>
      <c r="AA12" s="266"/>
      <c r="AB12" s="257"/>
      <c r="AC12" s="257"/>
      <c r="AD12" s="257"/>
      <c r="AE12" s="257"/>
      <c r="AF12" s="257"/>
      <c r="AG12" s="257"/>
    </row>
    <row r="13" spans="1:228" s="3" customFormat="1" ht="12.6" customHeight="1">
      <c r="A13" s="464"/>
      <c r="B13" s="425"/>
      <c r="C13" s="450"/>
      <c r="D13" s="450"/>
      <c r="E13" s="450"/>
      <c r="F13" s="450"/>
      <c r="G13" s="450"/>
      <c r="H13" s="450"/>
      <c r="I13" s="450"/>
      <c r="J13" s="450"/>
      <c r="K13" s="450"/>
      <c r="L13" s="450"/>
      <c r="M13" s="450"/>
      <c r="N13" s="450"/>
      <c r="O13" s="450"/>
      <c r="P13" s="450"/>
      <c r="Q13" s="450"/>
      <c r="R13" s="450"/>
      <c r="S13" s="450"/>
      <c r="T13" s="450"/>
      <c r="U13" s="450"/>
      <c r="V13" s="450"/>
      <c r="W13" s="450"/>
      <c r="X13" s="266"/>
      <c r="Y13" s="266"/>
      <c r="Z13" s="266"/>
      <c r="AA13" s="266"/>
      <c r="AB13" s="257"/>
      <c r="AC13" s="257"/>
      <c r="AD13" s="257"/>
      <c r="AE13" s="257"/>
      <c r="AF13" s="257"/>
      <c r="AG13" s="257"/>
    </row>
    <row r="14" spans="1:228" s="3" customFormat="1" ht="12.6" customHeight="1">
      <c r="A14" s="681" t="s">
        <v>635</v>
      </c>
      <c r="B14" s="682"/>
      <c r="C14" s="682"/>
      <c r="D14" s="682"/>
      <c r="E14" s="682"/>
      <c r="F14" s="682"/>
      <c r="G14" s="682"/>
      <c r="H14" s="682"/>
      <c r="I14" s="682"/>
      <c r="J14" s="682"/>
      <c r="K14" s="682"/>
      <c r="L14" s="682"/>
      <c r="M14" s="682"/>
      <c r="N14" s="682"/>
      <c r="O14" s="682"/>
      <c r="P14" s="682"/>
      <c r="Q14" s="682"/>
      <c r="R14" s="682"/>
      <c r="S14" s="682"/>
      <c r="T14" s="682"/>
      <c r="U14" s="682"/>
      <c r="V14" s="682"/>
      <c r="W14" s="683"/>
      <c r="X14" s="266"/>
      <c r="Y14" s="266"/>
      <c r="Z14" s="266"/>
      <c r="AA14" s="266"/>
      <c r="AB14" s="257"/>
      <c r="AC14" s="257"/>
      <c r="AD14" s="257"/>
      <c r="AE14" s="257"/>
      <c r="AF14" s="257"/>
      <c r="AG14" s="257"/>
    </row>
    <row r="15" spans="1:228" s="3" customFormat="1" ht="12.6" customHeight="1">
      <c r="A15" s="449" t="s">
        <v>95</v>
      </c>
      <c r="B15" s="425"/>
      <c r="C15" s="1034">
        <f>Deg_Rate*(1-'PPA Assumptions &amp;Summary'!C18)</f>
        <v>0.02</v>
      </c>
      <c r="D15" s="1034">
        <f>Deg_Rate*(1-'PPA Assumptions &amp;Summary'!D18)</f>
        <v>0.02</v>
      </c>
      <c r="E15" s="1034">
        <f>Deg_Rate*(1-'PPA Assumptions &amp;Summary'!E18)</f>
        <v>0.02</v>
      </c>
      <c r="F15" s="1034">
        <f>Deg_Rate*(1-'PPA Assumptions &amp;Summary'!F18)</f>
        <v>0.02</v>
      </c>
      <c r="G15" s="1034">
        <f>Deg_Rate*(1-'PPA Assumptions &amp;Summary'!G18)</f>
        <v>0.02</v>
      </c>
      <c r="H15" s="1034">
        <f>Deg_Rate*(1-'PPA Assumptions &amp;Summary'!H18)</f>
        <v>0.02</v>
      </c>
      <c r="I15" s="1034">
        <f>Deg_Rate*(1-'PPA Assumptions &amp;Summary'!I18)</f>
        <v>0.02</v>
      </c>
      <c r="J15" s="1034">
        <f>Deg_Rate*(1-'PPA Assumptions &amp;Summary'!J18)</f>
        <v>0.02</v>
      </c>
      <c r="K15" s="1034">
        <f>Deg_Rate*(1-'PPA Assumptions &amp;Summary'!K18)</f>
        <v>0.02</v>
      </c>
      <c r="L15" s="1034">
        <f>Deg_Rate*(1-'PPA Assumptions &amp;Summary'!L18)</f>
        <v>0.02</v>
      </c>
      <c r="M15" s="1034">
        <f>Deg_Rate*(1-'PPA Assumptions &amp;Summary'!M18)</f>
        <v>0.02</v>
      </c>
      <c r="N15" s="1034">
        <f>Deg_Rate*(1-'PPA Assumptions &amp;Summary'!N18)</f>
        <v>0.02</v>
      </c>
      <c r="O15" s="1034">
        <f>Deg_Rate*(1-'PPA Assumptions &amp;Summary'!O18)</f>
        <v>0.02</v>
      </c>
      <c r="P15" s="1034">
        <f>Deg_Rate*(1-'PPA Assumptions &amp;Summary'!P18)</f>
        <v>0.02</v>
      </c>
      <c r="Q15" s="1034">
        <f>Deg_Rate*(1-'PPA Assumptions &amp;Summary'!Q18)</f>
        <v>0.02</v>
      </c>
      <c r="R15" s="1034">
        <f>Deg_Rate*(1-'PPA Assumptions &amp;Summary'!R18)</f>
        <v>0.02</v>
      </c>
      <c r="S15" s="1034">
        <f>Deg_Rate*(1-'PPA Assumptions &amp;Summary'!S18)</f>
        <v>0.02</v>
      </c>
      <c r="T15" s="1034">
        <f>Deg_Rate*(1-'PPA Assumptions &amp;Summary'!T18)</f>
        <v>0.02</v>
      </c>
      <c r="U15" s="1034">
        <f>Deg_Rate*(1-'PPA Assumptions &amp;Summary'!U18)</f>
        <v>0.02</v>
      </c>
      <c r="V15" s="1034">
        <f>Deg_Rate*(1-'PPA Assumptions &amp;Summary'!V18)</f>
        <v>0.02</v>
      </c>
      <c r="W15" s="1035">
        <f>Deg_Rate*(1-'PPA Assumptions &amp;Summary'!W18)</f>
        <v>0.02</v>
      </c>
      <c r="X15" s="266"/>
      <c r="Y15" s="266"/>
      <c r="Z15" s="266"/>
      <c r="AA15" s="266"/>
      <c r="AB15" s="257"/>
      <c r="AC15" s="257"/>
      <c r="AD15" s="257"/>
      <c r="AE15" s="257"/>
      <c r="AF15" s="257"/>
      <c r="AG15" s="257"/>
    </row>
    <row r="16" spans="1:228" s="3" customFormat="1" ht="12.6" customHeight="1">
      <c r="A16" s="449" t="s">
        <v>96</v>
      </c>
      <c r="B16" s="425"/>
      <c r="C16" s="985">
        <v>0</v>
      </c>
      <c r="D16" s="985">
        <v>0</v>
      </c>
      <c r="E16" s="985">
        <v>0</v>
      </c>
      <c r="F16" s="985">
        <v>0</v>
      </c>
      <c r="G16" s="985">
        <v>0</v>
      </c>
      <c r="H16" s="985">
        <v>0</v>
      </c>
      <c r="I16" s="985">
        <v>0</v>
      </c>
      <c r="J16" s="985">
        <v>0</v>
      </c>
      <c r="K16" s="985">
        <v>0</v>
      </c>
      <c r="L16" s="985">
        <v>0</v>
      </c>
      <c r="M16" s="985">
        <v>0</v>
      </c>
      <c r="N16" s="985">
        <v>0</v>
      </c>
      <c r="O16" s="985">
        <v>0</v>
      </c>
      <c r="P16" s="985">
        <v>0</v>
      </c>
      <c r="Q16" s="985">
        <v>0</v>
      </c>
      <c r="R16" s="985">
        <v>0</v>
      </c>
      <c r="S16" s="985">
        <v>0</v>
      </c>
      <c r="T16" s="985">
        <v>0</v>
      </c>
      <c r="U16" s="985">
        <v>0</v>
      </c>
      <c r="V16" s="985">
        <v>0</v>
      </c>
      <c r="W16" s="986">
        <v>0</v>
      </c>
      <c r="X16" s="266"/>
      <c r="Y16" s="266"/>
      <c r="Z16" s="266"/>
      <c r="AA16" s="266"/>
      <c r="AB16" s="257"/>
      <c r="AC16" s="257"/>
      <c r="AD16" s="257"/>
      <c r="AE16" s="257"/>
      <c r="AF16" s="257"/>
      <c r="AG16" s="257"/>
    </row>
    <row r="17" spans="1:33" s="3" customFormat="1" ht="12.6" customHeight="1">
      <c r="A17" s="449" t="s">
        <v>86</v>
      </c>
      <c r="B17" s="425"/>
      <c r="C17" s="453">
        <f>ISO_NetMW*(1-C15)</f>
        <v>524.59399999999994</v>
      </c>
      <c r="D17" s="453">
        <f t="shared" ref="D17:W17" si="0">ISO_NetMW*(1-D15)</f>
        <v>524.59399999999994</v>
      </c>
      <c r="E17" s="453">
        <f t="shared" si="0"/>
        <v>524.59399999999994</v>
      </c>
      <c r="F17" s="453">
        <f t="shared" si="0"/>
        <v>524.59399999999994</v>
      </c>
      <c r="G17" s="453">
        <f t="shared" si="0"/>
        <v>524.59399999999994</v>
      </c>
      <c r="H17" s="453">
        <f t="shared" si="0"/>
        <v>524.59399999999994</v>
      </c>
      <c r="I17" s="453">
        <f t="shared" si="0"/>
        <v>524.59399999999994</v>
      </c>
      <c r="J17" s="453">
        <f t="shared" si="0"/>
        <v>524.59399999999994</v>
      </c>
      <c r="K17" s="453">
        <f t="shared" si="0"/>
        <v>524.59399999999994</v>
      </c>
      <c r="L17" s="453">
        <f t="shared" si="0"/>
        <v>524.59399999999994</v>
      </c>
      <c r="M17" s="453">
        <f t="shared" si="0"/>
        <v>524.59399999999994</v>
      </c>
      <c r="N17" s="453">
        <f t="shared" si="0"/>
        <v>524.59399999999994</v>
      </c>
      <c r="O17" s="453">
        <f t="shared" si="0"/>
        <v>524.59399999999994</v>
      </c>
      <c r="P17" s="453">
        <f t="shared" si="0"/>
        <v>524.59399999999994</v>
      </c>
      <c r="Q17" s="453">
        <f t="shared" si="0"/>
        <v>524.59399999999994</v>
      </c>
      <c r="R17" s="453">
        <f t="shared" si="0"/>
        <v>524.59399999999994</v>
      </c>
      <c r="S17" s="453">
        <f t="shared" si="0"/>
        <v>524.59399999999994</v>
      </c>
      <c r="T17" s="453">
        <f t="shared" si="0"/>
        <v>524.59399999999994</v>
      </c>
      <c r="U17" s="453">
        <f t="shared" si="0"/>
        <v>524.59399999999994</v>
      </c>
      <c r="V17" s="453">
        <f t="shared" si="0"/>
        <v>524.59399999999994</v>
      </c>
      <c r="W17" s="487">
        <f t="shared" si="0"/>
        <v>524.59399999999994</v>
      </c>
      <c r="X17" s="266"/>
      <c r="Y17" s="266"/>
      <c r="Z17" s="266"/>
      <c r="AA17" s="266"/>
      <c r="AB17" s="257"/>
      <c r="AC17" s="257"/>
      <c r="AD17" s="257"/>
      <c r="AE17" s="257"/>
      <c r="AF17" s="257"/>
      <c r="AG17" s="257"/>
    </row>
    <row r="18" spans="1:33" s="3" customFormat="1" ht="12.6" customHeight="1">
      <c r="A18" s="449"/>
      <c r="B18" s="425"/>
      <c r="C18" s="453"/>
      <c r="D18" s="453"/>
      <c r="E18" s="453"/>
      <c r="F18" s="453"/>
      <c r="G18" s="453"/>
      <c r="H18" s="453"/>
      <c r="I18" s="453"/>
      <c r="J18" s="453"/>
      <c r="K18" s="453"/>
      <c r="L18" s="453"/>
      <c r="M18" s="453"/>
      <c r="N18" s="453"/>
      <c r="O18" s="453"/>
      <c r="P18" s="453"/>
      <c r="Q18" s="453"/>
      <c r="R18" s="453"/>
      <c r="S18" s="453"/>
      <c r="T18" s="453"/>
      <c r="U18" s="453"/>
      <c r="V18" s="453"/>
      <c r="W18" s="487"/>
      <c r="X18" s="266"/>
      <c r="Y18" s="266"/>
      <c r="Z18" s="266"/>
      <c r="AA18" s="266"/>
      <c r="AB18" s="257"/>
      <c r="AC18" s="257"/>
      <c r="AD18" s="257"/>
      <c r="AE18" s="257"/>
      <c r="AF18" s="257"/>
      <c r="AG18" s="257"/>
    </row>
    <row r="19" spans="1:33" s="3" customFormat="1" ht="12.6" customHeight="1">
      <c r="A19" s="449" t="s">
        <v>623</v>
      </c>
      <c r="B19" s="425"/>
      <c r="C19" s="453">
        <f>IF(C3&gt;ProjectLife+1,0,(C17-C20)*'PPA Assumptions &amp;Summary'!C7/12)</f>
        <v>0</v>
      </c>
      <c r="D19" s="453">
        <f>IF(D3&gt;ProjectLife+1,0,(D17-D20)*'PPA Assumptions &amp;Summary'!D7/12)</f>
        <v>0</v>
      </c>
      <c r="E19" s="453">
        <f>IF(E3&gt;ProjectLife+1,0,(E17-E20)*'PPA Assumptions &amp;Summary'!E7/12)</f>
        <v>0</v>
      </c>
      <c r="F19" s="453">
        <f>IF(F3&gt;ProjectLife+1,0,(F17-F20)*'PPA Assumptions &amp;Summary'!F7/12)</f>
        <v>302.44301305555547</v>
      </c>
      <c r="G19" s="453">
        <f>IF(G3&gt;ProjectLife+1,0,(G17-G20)*'PPA Assumptions &amp;Summary'!G7/12)</f>
        <v>514.1021199999999</v>
      </c>
      <c r="H19" s="453">
        <f>IF(H3&gt;ProjectLife+1,0,(H17-H20)*'PPA Assumptions &amp;Summary'!H7/12)</f>
        <v>514.1021199999999</v>
      </c>
      <c r="I19" s="453">
        <f>IF(I3&gt;ProjectLife+1,0,(I17-I20)*'PPA Assumptions &amp;Summary'!I7/12)</f>
        <v>514.1021199999999</v>
      </c>
      <c r="J19" s="453">
        <f>IF(J3&gt;ProjectLife+1,0,(J17-J20)*'PPA Assumptions &amp;Summary'!J7/12)</f>
        <v>514.1021199999999</v>
      </c>
      <c r="K19" s="453">
        <f>IF(K3&gt;ProjectLife+1,0,(K17-K20)*'PPA Assumptions &amp;Summary'!K7/12)</f>
        <v>514.1021199999999</v>
      </c>
      <c r="L19" s="453">
        <f>IF(L3&gt;ProjectLife+1,0,(L17-L20)*'PPA Assumptions &amp;Summary'!L7/12)</f>
        <v>514.1021199999999</v>
      </c>
      <c r="M19" s="453">
        <f>IF(M3&gt;ProjectLife+1,0,(M17-M20)*'PPA Assumptions &amp;Summary'!M7/12)</f>
        <v>514.1021199999999</v>
      </c>
      <c r="N19" s="453">
        <f>IF(N3&gt;ProjectLife+1,0,(N17-N20)*'PPA Assumptions &amp;Summary'!N7/12)</f>
        <v>514.1021199999999</v>
      </c>
      <c r="O19" s="453">
        <f>IF(O3&gt;ProjectLife+1,0,(O17-O20)*'PPA Assumptions &amp;Summary'!O7/12)</f>
        <v>514.1021199999999</v>
      </c>
      <c r="P19" s="453">
        <f>IF(P3&gt;ProjectLife+1,0,(P17-P20)*'PPA Assumptions &amp;Summary'!P7/12)</f>
        <v>514.1021199999999</v>
      </c>
      <c r="Q19" s="453">
        <f>IF(Q3&gt;ProjectLife+1,0,(Q17-Q20)*'PPA Assumptions &amp;Summary'!Q7/12)</f>
        <v>514.1021199999999</v>
      </c>
      <c r="R19" s="453">
        <f>IF(R3&gt;ProjectLife+1,0,(R17-R20)*'PPA Assumptions &amp;Summary'!R7/12)</f>
        <v>514.1021199999999</v>
      </c>
      <c r="S19" s="453">
        <f>IF(S3&gt;ProjectLife+1,0,(S17-S20)*'PPA Assumptions &amp;Summary'!S7/12)</f>
        <v>514.1021199999999</v>
      </c>
      <c r="T19" s="453">
        <f>IF(T3&gt;ProjectLife+1,0,(T17-T20)*'PPA Assumptions &amp;Summary'!T7/12)</f>
        <v>514.1021199999999</v>
      </c>
      <c r="U19" s="453">
        <f>IF(U3&gt;ProjectLife+1,0,(U17-U20)*'PPA Assumptions &amp;Summary'!U7/12)</f>
        <v>514.1021199999999</v>
      </c>
      <c r="V19" s="453">
        <f>IF(V3&gt;ProjectLife+1,0,(V17-V20)*'PPA Assumptions &amp;Summary'!V7/12)</f>
        <v>514.1021199999999</v>
      </c>
      <c r="W19" s="487">
        <f>IF(W3&gt;ProjectLife+1,0,(W17-W20))</f>
        <v>514.1021199999999</v>
      </c>
      <c r="X19" s="266"/>
      <c r="Y19" s="266"/>
      <c r="Z19" s="266"/>
      <c r="AA19" s="266"/>
      <c r="AB19" s="257"/>
      <c r="AC19" s="257"/>
      <c r="AD19" s="257"/>
      <c r="AE19" s="257"/>
      <c r="AF19" s="257"/>
      <c r="AG19" s="257"/>
    </row>
    <row r="20" spans="1:33" s="3" customFormat="1" ht="12.6" customHeight="1">
      <c r="A20" s="449" t="s">
        <v>624</v>
      </c>
      <c r="B20" s="425"/>
      <c r="C20" s="453">
        <f>C17*Cap_Factor_Energy*'PPA Assumptions &amp;Summary'!C7/12</f>
        <v>0</v>
      </c>
      <c r="D20" s="453">
        <f>D17*Cap_Factor_Energy*'PPA Assumptions &amp;Summary'!D7/12</f>
        <v>0</v>
      </c>
      <c r="E20" s="453">
        <f>E17*Cap_Factor_Energy*'PPA Assumptions &amp;Summary'!E7/12</f>
        <v>0</v>
      </c>
      <c r="F20" s="453">
        <f>F17*Cap_Factor_Energy*'PPA Assumptions &amp;Summary'!F7/12</f>
        <v>6.1202633333333329</v>
      </c>
      <c r="G20" s="453">
        <f>G17*Cap_Factor_Energy*'PPA Assumptions &amp;Summary'!G7/12</f>
        <v>10.491879999999998</v>
      </c>
      <c r="H20" s="453">
        <f>H17*Cap_Factor_Energy*'PPA Assumptions &amp;Summary'!H7/12</f>
        <v>10.491879999999998</v>
      </c>
      <c r="I20" s="453">
        <f>I17*Cap_Factor_Energy*'PPA Assumptions &amp;Summary'!I7/12</f>
        <v>10.491879999999998</v>
      </c>
      <c r="J20" s="453">
        <f>J17*Cap_Factor_Energy*'PPA Assumptions &amp;Summary'!J7/12</f>
        <v>10.491879999999998</v>
      </c>
      <c r="K20" s="453">
        <f>K17*Cap_Factor_Energy*'PPA Assumptions &amp;Summary'!K7/12</f>
        <v>10.491879999999998</v>
      </c>
      <c r="L20" s="453">
        <f>L17*Cap_Factor_Energy*'PPA Assumptions &amp;Summary'!L7/12</f>
        <v>10.491879999999998</v>
      </c>
      <c r="M20" s="453">
        <f>M17*Cap_Factor_Energy*'PPA Assumptions &amp;Summary'!M7/12</f>
        <v>10.491879999999998</v>
      </c>
      <c r="N20" s="453">
        <f>N17*Cap_Factor_Energy*'PPA Assumptions &amp;Summary'!N7/12</f>
        <v>10.491879999999998</v>
      </c>
      <c r="O20" s="453">
        <f>O17*Cap_Factor_Energy*'PPA Assumptions &amp;Summary'!O7/12</f>
        <v>10.491879999999998</v>
      </c>
      <c r="P20" s="453">
        <f>P17*Cap_Factor_Energy*'PPA Assumptions &amp;Summary'!P7/12</f>
        <v>10.491879999999998</v>
      </c>
      <c r="Q20" s="453">
        <f>Q17*Cap_Factor_Energy*'PPA Assumptions &amp;Summary'!Q7/12</f>
        <v>10.491879999999998</v>
      </c>
      <c r="R20" s="453">
        <f>R17*Cap_Factor_Energy*'PPA Assumptions &amp;Summary'!R7/12</f>
        <v>10.491879999999998</v>
      </c>
      <c r="S20" s="453">
        <f>S17*Cap_Factor_Energy*'PPA Assumptions &amp;Summary'!S7/12</f>
        <v>10.491879999999998</v>
      </c>
      <c r="T20" s="453">
        <f>T17*Cap_Factor_Energy*'PPA Assumptions &amp;Summary'!T7/12</f>
        <v>10.491879999999998</v>
      </c>
      <c r="U20" s="453">
        <f>U17*Cap_Factor_Energy*'PPA Assumptions &amp;Summary'!U7/12</f>
        <v>10.491879999999998</v>
      </c>
      <c r="V20" s="453">
        <f>V17*Cap_Factor_Energy*'PPA Assumptions &amp;Summary'!V7/12</f>
        <v>10.491879999999998</v>
      </c>
      <c r="W20" s="487">
        <f>W17*Cap_Factor_Energy</f>
        <v>10.491879999999998</v>
      </c>
      <c r="X20" s="266"/>
      <c r="Y20" s="266"/>
      <c r="Z20" s="266"/>
      <c r="AA20" s="266"/>
      <c r="AB20" s="257"/>
      <c r="AC20" s="257"/>
      <c r="AD20" s="257"/>
      <c r="AE20" s="257"/>
      <c r="AF20" s="257"/>
      <c r="AG20" s="257"/>
    </row>
    <row r="21" spans="1:33" s="3" customFormat="1" ht="12.6" customHeight="1">
      <c r="A21" s="449" t="s">
        <v>87</v>
      </c>
      <c r="B21" s="425"/>
      <c r="C21" s="474">
        <f>IF(C3&gt;'Project Assumptions'!$I$15,0,'Project Assumptions'!$G$14)</f>
        <v>1200</v>
      </c>
      <c r="D21" s="474">
        <f>IF(D3&gt;'Project Assumptions'!$I$15,0,'Project Assumptions'!$G$14)</f>
        <v>1200</v>
      </c>
      <c r="E21" s="474">
        <f>IF(E3&gt;'Project Assumptions'!$I$15,0,'Project Assumptions'!$G$14)</f>
        <v>1200</v>
      </c>
      <c r="F21" s="474">
        <f>IF(F3&gt;'Project Assumptions'!$I$15,0,'Project Assumptions'!$G$14)</f>
        <v>1200</v>
      </c>
      <c r="G21" s="474">
        <f>IF(G3&gt;'Project Assumptions'!$I$15,0,'Project Assumptions'!$G$14)</f>
        <v>1200</v>
      </c>
      <c r="H21" s="474">
        <f>IF(H3&gt;'Project Assumptions'!$I$15,0,'Project Assumptions'!$G$14)</f>
        <v>1200</v>
      </c>
      <c r="I21" s="474">
        <f>IF(I3&gt;'Project Assumptions'!$I$15,0,'Project Assumptions'!$G$14)</f>
        <v>1200</v>
      </c>
      <c r="J21" s="474">
        <f>IF(J3&gt;'Project Assumptions'!$I$15,0,'Project Assumptions'!$G$14)</f>
        <v>1200</v>
      </c>
      <c r="K21" s="474">
        <f>IF(K3&gt;'Project Assumptions'!$I$15,0,'Project Assumptions'!$G$14)</f>
        <v>1200</v>
      </c>
      <c r="L21" s="474">
        <f>IF(L3&gt;'Project Assumptions'!$I$15,0,'Project Assumptions'!$G$14)</f>
        <v>1200</v>
      </c>
      <c r="M21" s="474">
        <f>IF(M3&gt;'Project Assumptions'!$I$15,0,'Project Assumptions'!$G$14)</f>
        <v>1200</v>
      </c>
      <c r="N21" s="474">
        <f>IF(N3&gt;'Project Assumptions'!$I$15,0,'Project Assumptions'!$G$14)</f>
        <v>1200</v>
      </c>
      <c r="O21" s="474">
        <f>IF(O3&gt;'Project Assumptions'!$I$15,0,'Project Assumptions'!$G$14)</f>
        <v>1200</v>
      </c>
      <c r="P21" s="474">
        <f>IF(P3&gt;'Project Assumptions'!$I$15,0,'Project Assumptions'!$G$14)</f>
        <v>1200</v>
      </c>
      <c r="Q21" s="474">
        <f>IF(Q3&gt;'Project Assumptions'!$I$15,0,'Project Assumptions'!$G$14)</f>
        <v>1200</v>
      </c>
      <c r="R21" s="474">
        <f>IF(R3&gt;'Project Assumptions'!$I$15,0,'Project Assumptions'!$G$14)</f>
        <v>1200</v>
      </c>
      <c r="S21" s="474">
        <f>IF(S3&gt;'Project Assumptions'!$I$15,0,'Project Assumptions'!$G$14)</f>
        <v>1200</v>
      </c>
      <c r="T21" s="474">
        <f>IF(T3&gt;'Project Assumptions'!$I$15,0,'Project Assumptions'!$G$14)</f>
        <v>1200</v>
      </c>
      <c r="U21" s="474">
        <f>IF(U3&gt;'Project Assumptions'!$I$15,0,'Project Assumptions'!$G$14)</f>
        <v>1200</v>
      </c>
      <c r="V21" s="474">
        <f>IF(V3&gt;'Project Assumptions'!$I$15,0,'Project Assumptions'!$G$14)</f>
        <v>1200</v>
      </c>
      <c r="W21" s="475">
        <f>IF(W3&gt;'Project Assumptions'!$I$15+1,0,'Project Assumptions'!$G$14)</f>
        <v>1200</v>
      </c>
      <c r="X21" s="266"/>
      <c r="Y21" s="266"/>
      <c r="Z21" s="266"/>
      <c r="AA21" s="266"/>
      <c r="AB21" s="257"/>
      <c r="AC21" s="257"/>
      <c r="AD21" s="257"/>
      <c r="AE21" s="257"/>
      <c r="AF21" s="257"/>
      <c r="AG21" s="257"/>
    </row>
    <row r="22" spans="1:33" s="3" customFormat="1" ht="12.6" customHeight="1">
      <c r="A22" s="677" t="s">
        <v>139</v>
      </c>
      <c r="B22" s="461"/>
      <c r="C22" s="987">
        <f>IF(C3&gt;'Project Assumptions'!$I$15,0,C21*(C19+C20))</f>
        <v>0</v>
      </c>
      <c r="D22" s="987">
        <f>IF(D3&gt;'Project Assumptions'!$I$15,0,D21*(D19+D20))</f>
        <v>0</v>
      </c>
      <c r="E22" s="987">
        <f>IF(E3&gt;'Project Assumptions'!$I$15,0,E21*(E19+E20))</f>
        <v>0</v>
      </c>
      <c r="F22" s="987">
        <f>IF(F3&gt;'Project Assumptions'!$I$15,0,F21*(F19+F20))</f>
        <v>370275.93166666658</v>
      </c>
      <c r="G22" s="987">
        <f>IF(G3&gt;'Project Assumptions'!$I$15,0,G21*(G19+G20))</f>
        <v>629512.79999999993</v>
      </c>
      <c r="H22" s="987">
        <f>IF(H3&gt;'Project Assumptions'!$I$15,0,H21*(H19+H20))</f>
        <v>629512.79999999993</v>
      </c>
      <c r="I22" s="987">
        <f>IF(I3&gt;'Project Assumptions'!$I$15,0,I21*(I19+I20))</f>
        <v>629512.79999999993</v>
      </c>
      <c r="J22" s="987">
        <f>IF(J3&gt;'Project Assumptions'!$I$15,0,J21*(J19+J20))</f>
        <v>629512.79999999993</v>
      </c>
      <c r="K22" s="987">
        <f>IF(K3&gt;'Project Assumptions'!$I$15,0,K21*(K19+K20))</f>
        <v>629512.79999999993</v>
      </c>
      <c r="L22" s="987">
        <f>IF(L3&gt;'Project Assumptions'!$I$15,0,L21*(L19+L20))</f>
        <v>629512.79999999993</v>
      </c>
      <c r="M22" s="987">
        <f>IF(M3&gt;'Project Assumptions'!$I$15,0,M21*(M19+M20))</f>
        <v>629512.79999999993</v>
      </c>
      <c r="N22" s="987">
        <f>IF(N3&gt;'Project Assumptions'!$I$15,0,N21*(N19+N20))</f>
        <v>629512.79999999993</v>
      </c>
      <c r="O22" s="987">
        <f>IF(O3&gt;'Project Assumptions'!$I$15,0,O21*(O19+O20))</f>
        <v>629512.79999999993</v>
      </c>
      <c r="P22" s="987">
        <f>IF(P3&gt;'Project Assumptions'!$I$15,0,P21*(P19+P20))</f>
        <v>629512.79999999993</v>
      </c>
      <c r="Q22" s="987">
        <f>IF(Q3&gt;'Project Assumptions'!$I$15,0,Q21*(Q19+Q20))</f>
        <v>629512.79999999993</v>
      </c>
      <c r="R22" s="987">
        <f>IF(R3&gt;'Project Assumptions'!$I$15,0,R21*(R19+R20))</f>
        <v>629512.79999999993</v>
      </c>
      <c r="S22" s="987">
        <f>IF(S3&gt;'Project Assumptions'!$I$15,0,S21*(S19+S20))</f>
        <v>629512.79999999993</v>
      </c>
      <c r="T22" s="987">
        <f>IF(T3&gt;'Project Assumptions'!$I$15,0,T21*(T19+T20))</f>
        <v>629512.79999999993</v>
      </c>
      <c r="U22" s="987">
        <f>IF(U3&gt;'Project Assumptions'!$I$15,0,U21*(U19+U20))</f>
        <v>629512.79999999993</v>
      </c>
      <c r="V22" s="987">
        <f>IF(V3&gt;'Project Assumptions'!$I$15,0,V21*(V19+V20))</f>
        <v>629512.79999999993</v>
      </c>
      <c r="W22" s="1059">
        <f>IF(W3&gt;'Project Assumptions'!$I$15+1,0,W21*(W19+W20))</f>
        <v>629512.79999999993</v>
      </c>
      <c r="X22" s="266"/>
      <c r="Y22" s="266"/>
      <c r="Z22" s="266"/>
      <c r="AA22" s="266"/>
      <c r="AB22" s="257"/>
      <c r="AC22" s="257"/>
      <c r="AD22" s="257"/>
      <c r="AE22" s="257"/>
      <c r="AF22" s="257"/>
      <c r="AG22" s="257"/>
    </row>
    <row r="23" spans="1:33" s="3" customFormat="1" ht="12.6" customHeight="1">
      <c r="A23" s="421"/>
      <c r="B23" s="257"/>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7"/>
      <c r="AA23" s="267"/>
      <c r="AB23" s="257"/>
      <c r="AC23" s="257"/>
      <c r="AD23" s="257"/>
      <c r="AE23" s="257"/>
      <c r="AF23" s="257"/>
      <c r="AG23" s="257"/>
    </row>
    <row r="24" spans="1:33" s="3" customFormat="1" ht="15.75">
      <c r="A24" s="681" t="s">
        <v>165</v>
      </c>
      <c r="B24" s="437"/>
      <c r="C24" s="485"/>
      <c r="D24" s="485"/>
      <c r="E24" s="485"/>
      <c r="F24" s="485"/>
      <c r="G24" s="485"/>
      <c r="H24" s="485"/>
      <c r="I24" s="485"/>
      <c r="J24" s="485"/>
      <c r="K24" s="485"/>
      <c r="L24" s="485"/>
      <c r="M24" s="485"/>
      <c r="N24" s="485"/>
      <c r="O24" s="485"/>
      <c r="P24" s="485"/>
      <c r="Q24" s="485"/>
      <c r="R24" s="485"/>
      <c r="S24" s="485"/>
      <c r="T24" s="485"/>
      <c r="U24" s="485"/>
      <c r="V24" s="485"/>
      <c r="W24" s="486"/>
      <c r="X24" s="717"/>
      <c r="Y24" s="717"/>
      <c r="Z24" s="717"/>
      <c r="AA24" s="717"/>
      <c r="AB24" s="257"/>
      <c r="AC24" s="257"/>
      <c r="AD24" s="257"/>
      <c r="AE24" s="257"/>
      <c r="AF24" s="257"/>
      <c r="AG24" s="257"/>
    </row>
    <row r="25" spans="1:33" s="42" customFormat="1" ht="12.6" customHeight="1">
      <c r="A25" s="511" t="s">
        <v>161</v>
      </c>
      <c r="B25" s="253"/>
      <c r="C25" s="988">
        <f>IF(C3&lt;=ProjectLife,IF('Project Assumptions'!$C$69="Assumed",'Project Assumptions'!$I$28*'Project Assumptions'!$I$27,0),0)</f>
        <v>612000</v>
      </c>
      <c r="D25" s="988">
        <f>IF(D3&lt;=ProjectLife,IF('Project Assumptions'!$C$69="Assumed",NetMW*AnnualHours*'PPA Assumptions &amp;Summary'!D6/12,0),0)</f>
        <v>612000</v>
      </c>
      <c r="E25" s="988">
        <f>IF(E3&lt;=ProjectLife,IF('Project Assumptions'!$C$69="Assumed",NetMW*AnnualHours*'PPA Assumptions &amp;Summary'!E6/12,0),0)</f>
        <v>612000</v>
      </c>
      <c r="F25" s="988">
        <f>IF(F3&lt;=ProjectLife,IF('Project Assumptions'!$C$69="Assumed",NetMW*AnnualHours*'PPA Assumptions &amp;Summary'!F6/12,0),0)</f>
        <v>255000</v>
      </c>
      <c r="G25" s="988">
        <f>IF(G3&lt;=ProjectLife,IF('Project Assumptions'!$C$69="Assumed",NetMW*AnnualHours*'PPA Assumptions &amp;Summary'!G6/12,0),0)</f>
        <v>0</v>
      </c>
      <c r="H25" s="988">
        <f>IF(H3&lt;=ProjectLife,IF('Project Assumptions'!$C$69="Assumed",NetMW*AnnualHours*'PPA Assumptions &amp;Summary'!H6/12,0),0)</f>
        <v>0</v>
      </c>
      <c r="I25" s="988">
        <f>IF(I3&lt;=ProjectLife,IF('Project Assumptions'!$C$69="Assumed",NetMW*AnnualHours*'PPA Assumptions &amp;Summary'!I6/12,0),0)</f>
        <v>0</v>
      </c>
      <c r="J25" s="988">
        <f>IF(J3&lt;=ProjectLife,IF('Project Assumptions'!$C$69="Assumed",NetMW*AnnualHours*'PPA Assumptions &amp;Summary'!J6/12,0),0)</f>
        <v>0</v>
      </c>
      <c r="K25" s="988">
        <f>IF(K3&lt;=ProjectLife,IF('Project Assumptions'!$C$69="Assumed",NetMW*AnnualHours*'PPA Assumptions &amp;Summary'!K6/12,0),0)</f>
        <v>0</v>
      </c>
      <c r="L25" s="988">
        <f>IF(L3&lt;=ProjectLife,IF('Project Assumptions'!$C$69="Assumed",NetMW*AnnualHours*'PPA Assumptions &amp;Summary'!L6/12,0),0)</f>
        <v>0</v>
      </c>
      <c r="M25" s="988">
        <f>IF(M3&lt;=ProjectLife,IF('Project Assumptions'!$C$69="Assumed",NetMW*AnnualHours*'PPA Assumptions &amp;Summary'!M6/12,0),0)</f>
        <v>0</v>
      </c>
      <c r="N25" s="988">
        <f>IF(N3&lt;=ProjectLife,IF('Project Assumptions'!$C$69="Assumed",NetMW*AnnualHours*'PPA Assumptions &amp;Summary'!N6/12,0),0)</f>
        <v>0</v>
      </c>
      <c r="O25" s="988">
        <f>IF(O3&lt;=ProjectLife,IF('Project Assumptions'!$C$69="Assumed",NetMW*AnnualHours*'PPA Assumptions &amp;Summary'!O6/12,0),0)</f>
        <v>0</v>
      </c>
      <c r="P25" s="988">
        <f>IF(P3&lt;=ProjectLife,IF('Project Assumptions'!$C$69="Assumed",NetMW*AnnualHours*'PPA Assumptions &amp;Summary'!P6/12,0),0)</f>
        <v>0</v>
      </c>
      <c r="Q25" s="988">
        <f>IF(Q3&lt;=ProjectLife,IF('Project Assumptions'!$C$69="Assumed",NetMW*AnnualHours*'PPA Assumptions &amp;Summary'!Q6/12,0),0)</f>
        <v>0</v>
      </c>
      <c r="R25" s="988">
        <f>IF(R3&lt;=ProjectLife,IF('Project Assumptions'!$C$69="Assumed",NetMW*AnnualHours*'PPA Assumptions &amp;Summary'!R6/12,0),0)</f>
        <v>0</v>
      </c>
      <c r="S25" s="988">
        <f>IF(S3&lt;=ProjectLife,IF('Project Assumptions'!$C$69="Assumed",NetMW*AnnualHours*'PPA Assumptions &amp;Summary'!S6/12,0),0)</f>
        <v>0</v>
      </c>
      <c r="T25" s="988">
        <f>IF(T3&lt;=ProjectLife,IF('Project Assumptions'!$C$69="Assumed",NetMW*AnnualHours*'PPA Assumptions &amp;Summary'!T6/12,0),0)</f>
        <v>0</v>
      </c>
      <c r="U25" s="988">
        <f>IF(U3&lt;=ProjectLife,IF('Project Assumptions'!$C$69="Assumed",NetMW*AnnualHours*'PPA Assumptions &amp;Summary'!U6/12,0),0)</f>
        <v>0</v>
      </c>
      <c r="V25" s="988">
        <f>IF(V3&lt;=ProjectLife,IF('Project Assumptions'!$C$69="Assumed",NetMW*AnnualHours*'PPA Assumptions &amp;Summary'!V6/12,0),0)</f>
        <v>0</v>
      </c>
      <c r="W25" s="989">
        <f>IF(W3&lt;=ProjectLife,IF('Project Assumptions'!$C$69="Assumed",NetMW*AnnualHours*'PPA Assumptions &amp;Summary'!W6/12,0),0)</f>
        <v>0</v>
      </c>
      <c r="X25" s="718"/>
      <c r="Y25" s="718"/>
      <c r="Z25" s="718"/>
      <c r="AA25" s="718"/>
      <c r="AB25" s="205"/>
      <c r="AC25" s="205"/>
      <c r="AD25" s="205"/>
      <c r="AE25" s="205"/>
      <c r="AF25" s="205"/>
      <c r="AG25" s="205"/>
    </row>
    <row r="26" spans="1:33" s="42" customFormat="1" ht="12.6" customHeight="1">
      <c r="A26" s="511" t="s">
        <v>162</v>
      </c>
      <c r="B26" s="253"/>
      <c r="C26" s="817">
        <f>IF(C3&gt;'Project Assumptions'!$I$15,0,C25/C30)</f>
        <v>1</v>
      </c>
      <c r="D26" s="817">
        <f>IF(D3&gt;'Project Assumptions'!$I$15,0,D25/D30)</f>
        <v>1</v>
      </c>
      <c r="E26" s="817">
        <f>IF(E3&gt;'Project Assumptions'!$I$15,0,E25/E30)</f>
        <v>1</v>
      </c>
      <c r="F26" s="817">
        <f>IF(F3&gt;'Project Assumptions'!$I$15,0,F25/F30)</f>
        <v>0.40781995129782156</v>
      </c>
      <c r="G26" s="817">
        <f>IF(G3&gt;'Project Assumptions'!$I$15,0,G25/G30)</f>
        <v>0</v>
      </c>
      <c r="H26" s="817">
        <f>IF(H3&gt;'Project Assumptions'!$I$15,0,H25/H30)</f>
        <v>0</v>
      </c>
      <c r="I26" s="817">
        <f>IF(I3&gt;'Project Assumptions'!$I$15,0,I25/I30)</f>
        <v>0</v>
      </c>
      <c r="J26" s="817">
        <f>IF(J3&gt;'Project Assumptions'!$I$15,0,J25/J30)</f>
        <v>0</v>
      </c>
      <c r="K26" s="817">
        <f>IF(K3&gt;'Project Assumptions'!$I$15,0,K25/K30)</f>
        <v>0</v>
      </c>
      <c r="L26" s="817">
        <f>IF(L3&gt;'Project Assumptions'!$I$15,0,L25/L30)</f>
        <v>0</v>
      </c>
      <c r="M26" s="817">
        <f>IF(M3&gt;'Project Assumptions'!$I$15,0,M25/M30)</f>
        <v>0</v>
      </c>
      <c r="N26" s="817">
        <f>IF(N3&gt;'Project Assumptions'!$I$15,0,N25/N30)</f>
        <v>0</v>
      </c>
      <c r="O26" s="817">
        <f>IF(O3&gt;'Project Assumptions'!$I$15,0,O25/O30)</f>
        <v>0</v>
      </c>
      <c r="P26" s="817">
        <f>IF(P3&gt;'Project Assumptions'!$I$15,0,P25/P30)</f>
        <v>0</v>
      </c>
      <c r="Q26" s="817">
        <f>IF(Q3&gt;'Project Assumptions'!$I$15,0,Q25/Q30)</f>
        <v>0</v>
      </c>
      <c r="R26" s="817">
        <f>IF(R3&gt;'Project Assumptions'!$I$15,0,R25/R30)</f>
        <v>0</v>
      </c>
      <c r="S26" s="817">
        <f>IF(S3&gt;'Project Assumptions'!$I$15,0,S25/S30)</f>
        <v>0</v>
      </c>
      <c r="T26" s="817">
        <f>IF(T3&gt;'Project Assumptions'!$I$15,0,T25/T30)</f>
        <v>0</v>
      </c>
      <c r="U26" s="817">
        <f>IF(U3&gt;'Project Assumptions'!$I$15,0,U25/U30)</f>
        <v>0</v>
      </c>
      <c r="V26" s="817">
        <f>IF(V3&gt;'Project Assumptions'!$I$15,0,V25/V30)</f>
        <v>0</v>
      </c>
      <c r="W26" s="990">
        <f>IF(W3&gt;'Project Assumptions'!$I$15+1,0,W25/W30)</f>
        <v>0</v>
      </c>
      <c r="X26" s="719"/>
      <c r="Y26" s="719"/>
      <c r="Z26" s="719"/>
      <c r="AA26" s="719"/>
      <c r="AB26" s="205"/>
      <c r="AC26" s="205"/>
      <c r="AD26" s="205"/>
      <c r="AE26" s="205"/>
      <c r="AF26" s="205"/>
      <c r="AG26" s="205"/>
    </row>
    <row r="27" spans="1:33" s="42" customFormat="1" ht="12.6" customHeight="1">
      <c r="A27" s="511" t="s">
        <v>163</v>
      </c>
      <c r="B27" s="253"/>
      <c r="C27" s="609">
        <f>IF(C3&gt;'Project Assumptions'!$I$15,0,IF('Project Assumptions'!$C$69="Assumed",C22,0))</f>
        <v>0</v>
      </c>
      <c r="D27" s="609">
        <f>IF(D3&gt;'Project Assumptions'!$I$15,0,IF('Project Assumptions'!$C$69="Assumed",D22,0))</f>
        <v>0</v>
      </c>
      <c r="E27" s="609">
        <f>IF(E3&gt;'Project Assumptions'!$I$15,0,IF('Project Assumptions'!$C$69="Assumed",E22,0))</f>
        <v>0</v>
      </c>
      <c r="F27" s="609">
        <f>IF(F3&gt;'Project Assumptions'!$I$15,0,IF('Project Assumptions'!$C$69="Assumed",F22,0))</f>
        <v>370275.93166666658</v>
      </c>
      <c r="G27" s="609">
        <f>IF(G3&gt;'Project Assumptions'!$I$15,0,IF('Project Assumptions'!$C$69="Assumed",G22,0))</f>
        <v>629512.79999999993</v>
      </c>
      <c r="H27" s="609">
        <f>IF(H3&gt;'Project Assumptions'!$I$15,0,IF('Project Assumptions'!$C$69="Assumed",H22,0))</f>
        <v>629512.79999999993</v>
      </c>
      <c r="I27" s="609">
        <f>IF(I3&gt;'Project Assumptions'!$I$15,0,IF('Project Assumptions'!$C$69="Assumed",I22,0))</f>
        <v>629512.79999999993</v>
      </c>
      <c r="J27" s="609">
        <f>IF(J3&gt;'Project Assumptions'!$I$15,0,IF('Project Assumptions'!$C$69="Assumed",J22,0))</f>
        <v>629512.79999999993</v>
      </c>
      <c r="K27" s="609">
        <f>IF(K3&gt;'Project Assumptions'!$I$15,0,IF('Project Assumptions'!$C$69="Assumed",K22,0))</f>
        <v>629512.79999999993</v>
      </c>
      <c r="L27" s="609">
        <f>IF(L3&gt;'Project Assumptions'!$I$15,0,IF('Project Assumptions'!$C$69="Assumed",L22,0))</f>
        <v>629512.79999999993</v>
      </c>
      <c r="M27" s="609">
        <f>IF(M3&gt;'Project Assumptions'!$I$15,0,IF('Project Assumptions'!$C$69="Assumed",M22,0))</f>
        <v>629512.79999999993</v>
      </c>
      <c r="N27" s="609">
        <f>IF(N3&gt;'Project Assumptions'!$I$15,0,IF('Project Assumptions'!$C$69="Assumed",N22,0))</f>
        <v>629512.79999999993</v>
      </c>
      <c r="O27" s="609">
        <f>IF(O3&gt;'Project Assumptions'!$I$15,0,IF('Project Assumptions'!$C$69="Assumed",O22,0))</f>
        <v>629512.79999999993</v>
      </c>
      <c r="P27" s="609">
        <f>IF(P3&gt;'Project Assumptions'!$I$15,0,IF('Project Assumptions'!$C$69="Assumed",P22,0))</f>
        <v>629512.79999999993</v>
      </c>
      <c r="Q27" s="609">
        <f>IF(Q3&gt;'Project Assumptions'!$I$15,0,IF('Project Assumptions'!$C$69="Assumed",Q22,0))</f>
        <v>629512.79999999993</v>
      </c>
      <c r="R27" s="609">
        <f>IF(R3&gt;'Project Assumptions'!$I$15,0,IF('Project Assumptions'!$C$69="Assumed",R22,0))</f>
        <v>629512.79999999993</v>
      </c>
      <c r="S27" s="609">
        <f>IF(S3&gt;'Project Assumptions'!$I$15,0,IF('Project Assumptions'!$C$69="Assumed",S22,0))</f>
        <v>629512.79999999993</v>
      </c>
      <c r="T27" s="609">
        <f>IF(T3&gt;'Project Assumptions'!$I$15,0,IF('Project Assumptions'!$C$69="Assumed",T22,0))</f>
        <v>629512.79999999993</v>
      </c>
      <c r="U27" s="609">
        <f>IF(U3&gt;'Project Assumptions'!$I$15,0,IF('Project Assumptions'!$C$69="Assumed",U22,0))</f>
        <v>629512.79999999993</v>
      </c>
      <c r="V27" s="609">
        <f>IF(V3&gt;'Project Assumptions'!$I$15,0,IF('Project Assumptions'!$C$69="Assumed",V22,0))</f>
        <v>629512.79999999993</v>
      </c>
      <c r="W27" s="610">
        <f>IF(W3&gt;'Project Assumptions'!$I$15+1,0,IF('Project Assumptions'!$C$69="Assumed",W22,0))</f>
        <v>629512.79999999993</v>
      </c>
      <c r="X27" s="305"/>
      <c r="Y27" s="305"/>
      <c r="Z27" s="305"/>
      <c r="AA27" s="305"/>
      <c r="AB27" s="205"/>
      <c r="AC27" s="205"/>
      <c r="AD27" s="205"/>
      <c r="AE27" s="205"/>
      <c r="AF27" s="205"/>
      <c r="AG27" s="205"/>
    </row>
    <row r="28" spans="1:33" s="42" customFormat="1" ht="12.6" customHeight="1">
      <c r="A28" s="511" t="s">
        <v>162</v>
      </c>
      <c r="B28" s="253"/>
      <c r="C28" s="991">
        <f>IF(C3&gt;'Project Assumptions'!$I$15,0,C27/C30)</f>
        <v>0</v>
      </c>
      <c r="D28" s="991">
        <f>IF(D3&gt;'Project Assumptions'!$I$15,0,D27/D30)</f>
        <v>0</v>
      </c>
      <c r="E28" s="991">
        <f>IF(E3&gt;'Project Assumptions'!$I$15,0,E27/E30)</f>
        <v>0</v>
      </c>
      <c r="F28" s="991">
        <f>IF(F3&gt;'Project Assumptions'!$I$15,0,F27/F30)</f>
        <v>0.59218004870217833</v>
      </c>
      <c r="G28" s="991">
        <f>IF(G3&gt;'Project Assumptions'!$I$15,0,G27/G30)</f>
        <v>1</v>
      </c>
      <c r="H28" s="991">
        <f>IF(H3&gt;'Project Assumptions'!$I$15,0,H27/H30)</f>
        <v>1</v>
      </c>
      <c r="I28" s="991">
        <f>IF(I3&gt;'Project Assumptions'!$I$15,0,I27/I30)</f>
        <v>1</v>
      </c>
      <c r="J28" s="991">
        <f>IF(J3&gt;'Project Assumptions'!$I$15,0,J27/J30)</f>
        <v>1</v>
      </c>
      <c r="K28" s="991">
        <f>IF(K3&gt;'Project Assumptions'!$I$15,0,K27/K30)</f>
        <v>1</v>
      </c>
      <c r="L28" s="991">
        <f>IF(L3&gt;'Project Assumptions'!$I$15,0,L27/L30)</f>
        <v>1</v>
      </c>
      <c r="M28" s="991">
        <f>IF(M3&gt;'Project Assumptions'!$I$15,0,M27/M30)</f>
        <v>1</v>
      </c>
      <c r="N28" s="991">
        <f>IF(N3&gt;'Project Assumptions'!$I$15,0,N27/N30)</f>
        <v>1</v>
      </c>
      <c r="O28" s="991">
        <f>IF(O3&gt;'Project Assumptions'!$I$15,0,O27/O30)</f>
        <v>1</v>
      </c>
      <c r="P28" s="991">
        <f>IF(P3&gt;'Project Assumptions'!$I$15,0,P27/P30)</f>
        <v>1</v>
      </c>
      <c r="Q28" s="991">
        <f>IF(Q3&gt;'Project Assumptions'!$I$15,0,Q27/Q30)</f>
        <v>1</v>
      </c>
      <c r="R28" s="991">
        <f>IF(R3&gt;'Project Assumptions'!$I$15,0,R27/R30)</f>
        <v>1</v>
      </c>
      <c r="S28" s="991">
        <f>IF(S3&gt;'Project Assumptions'!$I$15,0,S27/S30)</f>
        <v>1</v>
      </c>
      <c r="T28" s="991">
        <f>IF(T3&gt;'Project Assumptions'!$I$15,0,T27/T30)</f>
        <v>1</v>
      </c>
      <c r="U28" s="991">
        <f>IF(U3&gt;'Project Assumptions'!$I$15,0,U27/U30)</f>
        <v>1</v>
      </c>
      <c r="V28" s="991">
        <f>IF(V3&gt;'Project Assumptions'!$I$15,0,V27/V30)</f>
        <v>1</v>
      </c>
      <c r="W28" s="992">
        <f>IF(W3&gt;'Project Assumptions'!$I$15+1,0,W27/W30)</f>
        <v>1</v>
      </c>
      <c r="X28" s="720"/>
      <c r="Y28" s="720"/>
      <c r="Z28" s="720"/>
      <c r="AA28" s="720"/>
      <c r="AB28" s="205"/>
      <c r="AC28" s="205"/>
      <c r="AD28" s="205"/>
      <c r="AE28" s="205"/>
      <c r="AF28" s="205"/>
      <c r="AG28" s="205"/>
    </row>
    <row r="29" spans="1:33" s="3" customFormat="1" ht="12.6" customHeight="1">
      <c r="A29" s="449"/>
      <c r="B29" s="425"/>
      <c r="C29" s="450"/>
      <c r="D29" s="450"/>
      <c r="E29" s="450"/>
      <c r="F29" s="450"/>
      <c r="G29" s="450"/>
      <c r="H29" s="450"/>
      <c r="I29" s="450"/>
      <c r="J29" s="450"/>
      <c r="K29" s="450"/>
      <c r="L29" s="450"/>
      <c r="M29" s="450"/>
      <c r="N29" s="450"/>
      <c r="O29" s="450"/>
      <c r="P29" s="450"/>
      <c r="Q29" s="450"/>
      <c r="R29" s="450"/>
      <c r="S29" s="450"/>
      <c r="T29" s="450"/>
      <c r="U29" s="450"/>
      <c r="V29" s="450"/>
      <c r="W29" s="451"/>
      <c r="X29" s="266"/>
      <c r="Y29" s="266"/>
      <c r="Z29" s="266"/>
      <c r="AA29" s="266"/>
      <c r="AB29" s="257"/>
      <c r="AC29" s="257"/>
      <c r="AD29" s="257"/>
      <c r="AE29" s="257"/>
      <c r="AF29" s="257"/>
      <c r="AG29" s="257"/>
    </row>
    <row r="30" spans="1:33" s="42" customFormat="1" ht="12.6" customHeight="1">
      <c r="A30" s="511" t="s">
        <v>159</v>
      </c>
      <c r="B30" s="253"/>
      <c r="C30" s="609">
        <f>IF(C3&gt;'Project Assumptions'!$I$15,0,IF('Project Assumptions'!$C$69="Assumed",C25+C27,C25+C27))</f>
        <v>612000</v>
      </c>
      <c r="D30" s="609">
        <f>IF(D3&gt;'Project Assumptions'!$I$15,0,IF('Project Assumptions'!$C$69="Assumed",D25+D27,D25+D27))</f>
        <v>612000</v>
      </c>
      <c r="E30" s="609">
        <f>IF(E3&gt;'Project Assumptions'!$I$15,0,IF('Project Assumptions'!$C$69="Assumed",E25+E27,E25+E27))</f>
        <v>612000</v>
      </c>
      <c r="F30" s="609">
        <f>IF(F3&gt;'Project Assumptions'!$I$15,0,IF('Project Assumptions'!$C$69="Assumed",F25+F27,F25+F27))</f>
        <v>625275.93166666664</v>
      </c>
      <c r="G30" s="609">
        <f>IF(G3&gt;'Project Assumptions'!$I$15,0,IF('Project Assumptions'!$C$69="Assumed",G25+G27,G25+G27))</f>
        <v>629512.79999999993</v>
      </c>
      <c r="H30" s="609">
        <f>IF(H3&gt;'Project Assumptions'!$I$15,0,IF('Project Assumptions'!$C$69="Assumed",H25+H27,H25+H27))</f>
        <v>629512.79999999993</v>
      </c>
      <c r="I30" s="609">
        <f>IF(I3&gt;'Project Assumptions'!$I$15,0,IF('Project Assumptions'!$C$69="Assumed",I25+I27,I25+I27))</f>
        <v>629512.79999999993</v>
      </c>
      <c r="J30" s="609">
        <f>IF(J3&gt;'Project Assumptions'!$I$15,0,IF('Project Assumptions'!$C$69="Assumed",J25+J27,J25+J27))</f>
        <v>629512.79999999993</v>
      </c>
      <c r="K30" s="609">
        <f>IF(K3&gt;'Project Assumptions'!$I$15,0,IF('Project Assumptions'!$C$69="Assumed",K25+K27,K25+K27))</f>
        <v>629512.79999999993</v>
      </c>
      <c r="L30" s="609">
        <f>IF(L3&gt;'Project Assumptions'!$I$15,0,IF('Project Assumptions'!$C$69="Assumed",L25+L27,L25+L27))</f>
        <v>629512.79999999993</v>
      </c>
      <c r="M30" s="609">
        <f>IF(M3&gt;'Project Assumptions'!$I$15,0,IF('Project Assumptions'!$C$69="Assumed",M25+M27,M25+M27))</f>
        <v>629512.79999999993</v>
      </c>
      <c r="N30" s="609">
        <f>IF(N3&gt;'Project Assumptions'!$I$15,0,IF('Project Assumptions'!$C$69="Assumed",N25+N27,N25+N27))</f>
        <v>629512.79999999993</v>
      </c>
      <c r="O30" s="609">
        <f>IF(O3&gt;'Project Assumptions'!$I$15,0,IF('Project Assumptions'!$C$69="Assumed",O25+O27,O25+O27))</f>
        <v>629512.79999999993</v>
      </c>
      <c r="P30" s="609">
        <f>IF(P3&gt;'Project Assumptions'!$I$15,0,IF('Project Assumptions'!$C$69="Assumed",P25+P27,P25+P27))</f>
        <v>629512.79999999993</v>
      </c>
      <c r="Q30" s="609">
        <f>IF(Q3&gt;'Project Assumptions'!$I$15,0,IF('Project Assumptions'!$C$69="Assumed",Q25+Q27,Q25+Q27))</f>
        <v>629512.79999999993</v>
      </c>
      <c r="R30" s="609">
        <f>IF(R3&gt;'Project Assumptions'!$I$15,0,IF('Project Assumptions'!$C$69="Assumed",R25+R27,R25+R27))</f>
        <v>629512.79999999993</v>
      </c>
      <c r="S30" s="609">
        <f>IF(S3&gt;'Project Assumptions'!$I$15,0,IF('Project Assumptions'!$C$69="Assumed",S25+S27,S25+S27))</f>
        <v>629512.79999999993</v>
      </c>
      <c r="T30" s="609">
        <f>IF(T3&gt;'Project Assumptions'!$I$15,0,IF('Project Assumptions'!$C$69="Assumed",T25+T27,T25+T27))</f>
        <v>629512.79999999993</v>
      </c>
      <c r="U30" s="609">
        <f>IF(U3&gt;'Project Assumptions'!$I$15,0,IF('Project Assumptions'!$C$69="Assumed",U25+U27,U25+U27))</f>
        <v>629512.79999999993</v>
      </c>
      <c r="V30" s="609">
        <f>IF(V3&gt;'Project Assumptions'!$I$15,0,IF('Project Assumptions'!$C$69="Assumed",V25+V27,V25+V27))</f>
        <v>629512.79999999993</v>
      </c>
      <c r="W30" s="610">
        <f>IF(W3&gt;'Project Assumptions'!$I$15+1,0,IF('Project Assumptions'!$C$69="Assumed",W25+W27,W25+W27))</f>
        <v>629512.79999999993</v>
      </c>
      <c r="X30" s="305"/>
      <c r="Y30" s="305"/>
      <c r="Z30" s="305"/>
      <c r="AA30" s="305"/>
      <c r="AB30" s="205"/>
      <c r="AC30" s="205"/>
      <c r="AD30" s="205"/>
      <c r="AE30" s="205"/>
      <c r="AF30" s="205"/>
      <c r="AG30" s="205"/>
    </row>
    <row r="31" spans="1:33" s="42" customFormat="1" ht="12.6" customHeight="1">
      <c r="A31" s="511" t="s">
        <v>108</v>
      </c>
      <c r="B31" s="253"/>
      <c r="C31" s="817">
        <f>IF(C3&gt;'Project Assumptions'!$I$15,0,C26+C28)</f>
        <v>1</v>
      </c>
      <c r="D31" s="817">
        <f>IF(D3&gt;'Project Assumptions'!$I$15,0,D26+D28)</f>
        <v>1</v>
      </c>
      <c r="E31" s="817">
        <f>IF(E3&gt;'Project Assumptions'!$I$15,0,E26+E28)</f>
        <v>1</v>
      </c>
      <c r="F31" s="817">
        <f>IF(F3&gt;'Project Assumptions'!$I$15,0,F26+F28)</f>
        <v>0.99999999999999989</v>
      </c>
      <c r="G31" s="817">
        <f>IF(G3&gt;'Project Assumptions'!$I$15,0,G26+G28)</f>
        <v>1</v>
      </c>
      <c r="H31" s="817">
        <f>IF(H3&gt;'Project Assumptions'!$I$15,0,H26+H28)</f>
        <v>1</v>
      </c>
      <c r="I31" s="817">
        <f>IF(I3&gt;'Project Assumptions'!$I$15,0,I26+I28)</f>
        <v>1</v>
      </c>
      <c r="J31" s="817">
        <f>IF(J3&gt;'Project Assumptions'!$I$15,0,J26+J28)</f>
        <v>1</v>
      </c>
      <c r="K31" s="817">
        <f>IF(K3&gt;'Project Assumptions'!$I$15,0,K26+K28)</f>
        <v>1</v>
      </c>
      <c r="L31" s="817">
        <f>IF(L3&gt;'Project Assumptions'!$I$15,0,L26+L28)</f>
        <v>1</v>
      </c>
      <c r="M31" s="817">
        <f>IF(M3&gt;'Project Assumptions'!$I$15,0,M26+M28)</f>
        <v>1</v>
      </c>
      <c r="N31" s="817">
        <f>IF(N3&gt;'Project Assumptions'!$I$15,0,N26+N28)</f>
        <v>1</v>
      </c>
      <c r="O31" s="817">
        <f>IF(O3&gt;'Project Assumptions'!$I$15,0,O26+O28)</f>
        <v>1</v>
      </c>
      <c r="P31" s="817">
        <f>IF(P3&gt;'Project Assumptions'!$I$15,0,P26+P28)</f>
        <v>1</v>
      </c>
      <c r="Q31" s="817">
        <f>IF(Q3&gt;'Project Assumptions'!$I$15,0,Q26+Q28)</f>
        <v>1</v>
      </c>
      <c r="R31" s="817">
        <f>IF(R3&gt;'Project Assumptions'!$I$15,0,R26+R28)</f>
        <v>1</v>
      </c>
      <c r="S31" s="817">
        <f>IF(S3&gt;'Project Assumptions'!$I$15,0,S26+S28)</f>
        <v>1</v>
      </c>
      <c r="T31" s="817">
        <f>IF(T3&gt;'Project Assumptions'!$I$15,0,T26+T28)</f>
        <v>1</v>
      </c>
      <c r="U31" s="817">
        <f>IF(U3&gt;'Project Assumptions'!$I$15,0,U26+U28)</f>
        <v>1</v>
      </c>
      <c r="V31" s="817">
        <f>IF(V3&gt;'Project Assumptions'!$I$15,0,V26+V28)</f>
        <v>1</v>
      </c>
      <c r="W31" s="990">
        <f>IF(W3&gt;'Project Assumptions'!$I$15+1,0,W26+W28)</f>
        <v>1</v>
      </c>
      <c r="X31" s="719"/>
      <c r="Y31" s="719"/>
      <c r="Z31" s="719"/>
      <c r="AA31" s="719"/>
      <c r="AB31" s="205"/>
      <c r="AC31" s="205"/>
      <c r="AD31" s="205"/>
      <c r="AE31" s="205"/>
      <c r="AF31" s="205"/>
      <c r="AG31" s="205"/>
    </row>
    <row r="32" spans="1:33" s="3" customFormat="1" ht="12.6" customHeight="1">
      <c r="A32" s="449" t="s">
        <v>160</v>
      </c>
      <c r="B32" s="425"/>
      <c r="C32" s="993">
        <f>IF(C3&gt;'Project Assumptions'!$I$15,0,'Project Assumptions'!$I$12*(1+C7))</f>
        <v>10904</v>
      </c>
      <c r="D32" s="993">
        <f>IF(D3&gt;'Project Assumptions'!$I$15,0,'Project Assumptions'!$I$12*(1+D7))</f>
        <v>10904</v>
      </c>
      <c r="E32" s="993">
        <f>IF(E3&gt;'Project Assumptions'!$I$15,0,'Project Assumptions'!$I$12*(1+E7))</f>
        <v>10904</v>
      </c>
      <c r="F32" s="993">
        <f>IF(F3&gt;'Project Assumptions'!$I$15,0,'Project Assumptions'!$I$12*(1+F7))</f>
        <v>10904</v>
      </c>
      <c r="G32" s="993">
        <f>IF(G3&gt;'Project Assumptions'!$I$15,0,'Project Assumptions'!$I$12*(1+G7))</f>
        <v>10904</v>
      </c>
      <c r="H32" s="993">
        <f>IF(H3&gt;'Project Assumptions'!$I$15,0,'Project Assumptions'!$I$12*(1+H7))</f>
        <v>10904</v>
      </c>
      <c r="I32" s="993">
        <f>IF(I3&gt;'Project Assumptions'!$I$15,0,'Project Assumptions'!$I$12*(1+I7))</f>
        <v>10904</v>
      </c>
      <c r="J32" s="993">
        <f>IF(J3&gt;'Project Assumptions'!$I$15,0,'Project Assumptions'!$I$12*(1+J7))</f>
        <v>10904</v>
      </c>
      <c r="K32" s="993">
        <f>IF(K3&gt;'Project Assumptions'!$I$15,0,'Project Assumptions'!$I$12*(1+K7))</f>
        <v>10904</v>
      </c>
      <c r="L32" s="993">
        <f>IF(L3&gt;'Project Assumptions'!$I$15,0,'Project Assumptions'!$I$12*(1+L7))</f>
        <v>10904</v>
      </c>
      <c r="M32" s="993">
        <f>IF(M3&gt;'Project Assumptions'!$I$15,0,'Project Assumptions'!$I$12*(1+M7))</f>
        <v>10904</v>
      </c>
      <c r="N32" s="993">
        <f>IF(N3&gt;'Project Assumptions'!$I$15,0,'Project Assumptions'!$I$12*(1+N7))</f>
        <v>10904</v>
      </c>
      <c r="O32" s="993">
        <f>IF(O3&gt;'Project Assumptions'!$I$15,0,'Project Assumptions'!$I$12*(1+O7))</f>
        <v>10904</v>
      </c>
      <c r="P32" s="993">
        <f>IF(P3&gt;'Project Assumptions'!$I$15,0,'Project Assumptions'!$I$12*(1+P7))</f>
        <v>10904</v>
      </c>
      <c r="Q32" s="993">
        <f>IF(Q3&gt;'Project Assumptions'!$I$15,0,'Project Assumptions'!$I$12*(1+Q7))</f>
        <v>10904</v>
      </c>
      <c r="R32" s="993">
        <f>IF(R3&gt;'Project Assumptions'!$I$15,0,'Project Assumptions'!$I$12*(1+R7))</f>
        <v>10904</v>
      </c>
      <c r="S32" s="993">
        <f>IF(S3&gt;'Project Assumptions'!$I$15,0,'Project Assumptions'!$I$12*(1+S7))</f>
        <v>10904</v>
      </c>
      <c r="T32" s="993">
        <f>IF(T3&gt;'Project Assumptions'!$I$15,0,'Project Assumptions'!$I$12*(1+T7))</f>
        <v>10904</v>
      </c>
      <c r="U32" s="993">
        <f>IF(U3&gt;'Project Assumptions'!$I$15,0,'Project Assumptions'!$I$12*(1+U7))</f>
        <v>10904</v>
      </c>
      <c r="V32" s="993">
        <f>IF(V3&gt;'Project Assumptions'!$I$15,0,'Project Assumptions'!$I$12*(1+V7))</f>
        <v>10904</v>
      </c>
      <c r="W32" s="994">
        <f>IF(W3&gt;'Project Assumptions'!$I$15+1,0,'Project Assumptions'!$I$12*(1+W7))</f>
        <v>10904</v>
      </c>
      <c r="X32" s="721"/>
      <c r="Y32" s="721"/>
      <c r="Z32" s="721"/>
      <c r="AA32" s="721"/>
      <c r="AB32" s="257"/>
      <c r="AC32" s="257"/>
      <c r="AD32" s="257"/>
      <c r="AE32" s="257"/>
      <c r="AF32" s="257"/>
      <c r="AG32" s="257"/>
    </row>
    <row r="33" spans="1:33" s="3" customFormat="1" ht="12.6" customHeight="1">
      <c r="A33" s="449" t="s">
        <v>652</v>
      </c>
      <c r="B33" s="425"/>
      <c r="C33" s="450">
        <f>IF(C3&gt;'Project Assumptions'!$I$15,0,C32*C30/1000000)</f>
        <v>6673.2479999999996</v>
      </c>
      <c r="D33" s="450">
        <f>IF(D3&gt;'Project Assumptions'!$I$15,0,D32*D30/1000000)</f>
        <v>6673.2479999999996</v>
      </c>
      <c r="E33" s="450">
        <f>IF(E3&gt;'Project Assumptions'!$I$15,0,E32*E30/1000000)</f>
        <v>6673.2479999999996</v>
      </c>
      <c r="F33" s="450">
        <f>IF(F3&gt;'Project Assumptions'!$I$15,0,F32*F30/1000000)</f>
        <v>6818.0087588933338</v>
      </c>
      <c r="G33" s="450">
        <f>IF(G3&gt;'Project Assumptions'!$I$15,0,G32*G30/1000000)</f>
        <v>6864.2075711999987</v>
      </c>
      <c r="H33" s="450">
        <f>IF(H3&gt;'Project Assumptions'!$I$15,0,H32*H30/1000000)</f>
        <v>6864.2075711999987</v>
      </c>
      <c r="I33" s="450">
        <f>IF(I3&gt;'Project Assumptions'!$I$15,0,I32*I30/1000000)</f>
        <v>6864.2075711999987</v>
      </c>
      <c r="J33" s="450">
        <f>IF(J3&gt;'Project Assumptions'!$I$15,0,J32*J30/1000000)</f>
        <v>6864.2075711999987</v>
      </c>
      <c r="K33" s="450">
        <f>IF(K3&gt;'Project Assumptions'!$I$15,0,K32*K30/1000000)</f>
        <v>6864.2075711999987</v>
      </c>
      <c r="L33" s="450">
        <f>IF(L3&gt;'Project Assumptions'!$I$15,0,L32*L30/1000000)</f>
        <v>6864.2075711999987</v>
      </c>
      <c r="M33" s="450">
        <f>IF(M3&gt;'Project Assumptions'!$I$15,0,M32*M30/1000000)</f>
        <v>6864.2075711999987</v>
      </c>
      <c r="N33" s="450">
        <f>IF(N3&gt;'Project Assumptions'!$I$15,0,N32*N30/1000000)</f>
        <v>6864.2075711999987</v>
      </c>
      <c r="O33" s="450">
        <f>IF(O3&gt;'Project Assumptions'!$I$15,0,O32*O30/1000000)</f>
        <v>6864.2075711999987</v>
      </c>
      <c r="P33" s="450">
        <f>IF(P3&gt;'Project Assumptions'!$I$15,0,P32*P30/1000000)</f>
        <v>6864.2075711999987</v>
      </c>
      <c r="Q33" s="450">
        <f>IF(Q3&gt;'Project Assumptions'!$I$15,0,Q32*Q30/1000000)</f>
        <v>6864.2075711999987</v>
      </c>
      <c r="R33" s="450">
        <f>IF(R3&gt;'Project Assumptions'!$I$15,0,R32*R30/1000000)</f>
        <v>6864.2075711999987</v>
      </c>
      <c r="S33" s="450">
        <f>IF(S3&gt;'Project Assumptions'!$I$15,0,S32*S30/1000000)</f>
        <v>6864.2075711999987</v>
      </c>
      <c r="T33" s="450">
        <f>IF(T3&gt;'Project Assumptions'!$I$15,0,T32*T30/1000000)</f>
        <v>6864.2075711999987</v>
      </c>
      <c r="U33" s="450">
        <f>IF(U3&gt;'Project Assumptions'!$I$15,0,U32*U30/1000000)</f>
        <v>6864.2075711999987</v>
      </c>
      <c r="V33" s="450">
        <f>IF(V3&gt;'Project Assumptions'!$I$15,0,V32*V30/1000000)</f>
        <v>6864.2075711999987</v>
      </c>
      <c r="W33" s="451">
        <f>IF(W3&gt;'Project Assumptions'!$I$15+1,0,W32*W30/1000000)</f>
        <v>6864.2075711999987</v>
      </c>
      <c r="X33" s="266"/>
      <c r="Y33" s="266"/>
      <c r="Z33" s="266"/>
      <c r="AA33" s="266"/>
      <c r="AB33" s="257"/>
      <c r="AC33" s="257"/>
      <c r="AD33" s="257"/>
      <c r="AE33" s="257"/>
      <c r="AF33" s="257"/>
      <c r="AG33" s="257"/>
    </row>
    <row r="34" spans="1:33" s="3" customFormat="1" ht="12.6" customHeight="1">
      <c r="A34" s="449"/>
      <c r="B34" s="425"/>
      <c r="C34" s="453"/>
      <c r="D34" s="453"/>
      <c r="E34" s="453"/>
      <c r="F34" s="453"/>
      <c r="G34" s="453"/>
      <c r="H34" s="453"/>
      <c r="I34" s="453"/>
      <c r="J34" s="453"/>
      <c r="K34" s="453"/>
      <c r="L34" s="453"/>
      <c r="M34" s="453"/>
      <c r="N34" s="453"/>
      <c r="O34" s="453"/>
      <c r="P34" s="453"/>
      <c r="Q34" s="453"/>
      <c r="R34" s="453"/>
      <c r="S34" s="453"/>
      <c r="T34" s="453"/>
      <c r="U34" s="453"/>
      <c r="V34" s="453"/>
      <c r="W34" s="487"/>
      <c r="X34" s="267"/>
      <c r="Y34" s="267"/>
      <c r="Z34" s="267"/>
      <c r="AA34" s="267"/>
      <c r="AB34" s="267"/>
      <c r="AC34" s="257"/>
      <c r="AD34" s="257"/>
      <c r="AE34" s="257"/>
      <c r="AF34" s="257"/>
      <c r="AG34" s="257"/>
    </row>
    <row r="35" spans="1:33" s="3" customFormat="1" ht="12.6" customHeight="1">
      <c r="A35" s="449" t="s">
        <v>164</v>
      </c>
      <c r="B35" s="425"/>
      <c r="C35" s="454">
        <f>IF(C3&gt;'Project Assumptions'!$I$15,0,IF(AND('Project Assumptions'!$C$70="No",Operations!C3&gt;ProjectLife),0,Operations!C$44*C33))</f>
        <v>16683.12</v>
      </c>
      <c r="D35" s="454">
        <f>IF(D3&gt;'Project Assumptions'!$I$15,0,IF(AND('Project Assumptions'!$C$70="No",Operations!D3&gt;ProjectLife),0,Operations!D$44*D33))</f>
        <v>16683.12</v>
      </c>
      <c r="E35" s="454">
        <f>IF(E3&gt;'Project Assumptions'!$I$15,0,IF(AND('Project Assumptions'!$C$70="No",Operations!E3&gt;ProjectLife),0,Operations!E$44*E33))</f>
        <v>16683.12</v>
      </c>
      <c r="F35" s="454">
        <f>IF(F3&gt;'Project Assumptions'!$I$15,0,IF(AND('Project Assumptions'!$C$70="No",Operations!F3&gt;ProjectLife),0,Operations!F$44*F33))</f>
        <v>17045.021897233335</v>
      </c>
      <c r="G35" s="454">
        <f>IF(G3&gt;'Project Assumptions'!$I$15,0,IF(AND('Project Assumptions'!$C$70="No",Operations!G3&gt;ProjectLife),0,Operations!G$44*G33))</f>
        <v>17160.518927999998</v>
      </c>
      <c r="H35" s="454">
        <f>IF(H3&gt;'Project Assumptions'!$I$15,0,IF(AND('Project Assumptions'!$C$70="No",Operations!H3&gt;ProjectLife),0,Operations!H$44*H33))</f>
        <v>17160.518927999998</v>
      </c>
      <c r="I35" s="454">
        <f>IF(I3&gt;'Project Assumptions'!$I$15,0,IF(AND('Project Assumptions'!$C$70="No",Operations!I3&gt;ProjectLife),0,Operations!I$44*I33))</f>
        <v>17160.518927999998</v>
      </c>
      <c r="J35" s="454">
        <f>IF(J3&gt;'Project Assumptions'!$I$15,0,IF(AND('Project Assumptions'!$C$70="No",Operations!J3&gt;ProjectLife),0,Operations!J$44*J33))</f>
        <v>17160.518927999998</v>
      </c>
      <c r="K35" s="454">
        <f>IF(K3&gt;'Project Assumptions'!$I$15,0,IF(AND('Project Assumptions'!$C$70="No",Operations!K3&gt;ProjectLife),0,Operations!K$44*K33))</f>
        <v>17160.518927999998</v>
      </c>
      <c r="L35" s="454">
        <f>IF(L3&gt;'Project Assumptions'!$I$15,0,IF(AND('Project Assumptions'!$C$70="No",Operations!L3&gt;ProjectLife),0,Operations!L$44*L33))</f>
        <v>17160.518927999998</v>
      </c>
      <c r="M35" s="454">
        <f>IF(M3&gt;'Project Assumptions'!$I$15,0,IF(AND('Project Assumptions'!$C$70="No",Operations!M3&gt;ProjectLife),0,Operations!M$44*M33))</f>
        <v>17160.518927999998</v>
      </c>
      <c r="N35" s="454">
        <f>IF(N3&gt;'Project Assumptions'!$I$15,0,IF(AND('Project Assumptions'!$C$70="No",Operations!N3&gt;ProjectLife),0,Operations!N$44*N33))</f>
        <v>17160.518927999998</v>
      </c>
      <c r="O35" s="454">
        <f>IF(O3&gt;'Project Assumptions'!$I$15,0,IF(AND('Project Assumptions'!$C$70="No",Operations!O3&gt;ProjectLife),0,Operations!O$44*O33))</f>
        <v>17160.518927999998</v>
      </c>
      <c r="P35" s="454">
        <f>IF(P3&gt;'Project Assumptions'!$I$15,0,IF(AND('Project Assumptions'!$C$70="No",Operations!P3&gt;ProjectLife),0,Operations!P$44*P33))</f>
        <v>17160.518927999998</v>
      </c>
      <c r="Q35" s="454">
        <f>IF(Q3&gt;'Project Assumptions'!$I$15,0,IF(AND('Project Assumptions'!$C$70="No",Operations!Q3&gt;ProjectLife),0,Operations!Q$44*Q33))</f>
        <v>17160.518927999998</v>
      </c>
      <c r="R35" s="454">
        <f>IF(R3&gt;'Project Assumptions'!$I$15,0,IF(AND('Project Assumptions'!$C$70="No",Operations!R3&gt;ProjectLife),0,Operations!R$44*R33))</f>
        <v>17160.518927999998</v>
      </c>
      <c r="S35" s="454">
        <f>IF(S3&gt;'Project Assumptions'!$I$15,0,IF(AND('Project Assumptions'!$C$70="No",Operations!S3&gt;ProjectLife),0,Operations!S$44*S33))</f>
        <v>17160.518927999998</v>
      </c>
      <c r="T35" s="454">
        <f>IF(T3&gt;'Project Assumptions'!$I$15,0,IF(AND('Project Assumptions'!$C$70="No",Operations!T3&gt;ProjectLife),0,Operations!T$44*T33))</f>
        <v>17160.518927999998</v>
      </c>
      <c r="U35" s="454">
        <f>IF(U3&gt;'Project Assumptions'!$I$15,0,IF(AND('Project Assumptions'!$C$70="No",Operations!U3&gt;ProjectLife),0,Operations!U$44*U33))</f>
        <v>17160.518927999998</v>
      </c>
      <c r="V35" s="454">
        <f>IF(V3&gt;'Project Assumptions'!$I$15,0,IF(AND('Project Assumptions'!$C$70="No",Operations!V3&gt;ProjectLife),0,Operations!V$44*V33))</f>
        <v>17160.518927999998</v>
      </c>
      <c r="W35" s="455">
        <f>IF(W3&gt;'Project Assumptions'!$I$15+1,0,IF(AND('Project Assumptions'!$C$70="No",Operations!W3&gt;ProjectLife+1),0,Operations!W$44*W33))</f>
        <v>17160.518927999998</v>
      </c>
      <c r="X35" s="717"/>
      <c r="Y35" s="717"/>
      <c r="Z35" s="717"/>
      <c r="AA35" s="717"/>
      <c r="AB35" s="257"/>
      <c r="AC35" s="257"/>
      <c r="AD35" s="257"/>
      <c r="AE35" s="257"/>
      <c r="AF35" s="257"/>
      <c r="AG35" s="257"/>
    </row>
    <row r="36" spans="1:33" s="3" customFormat="1" ht="12.6" customHeight="1">
      <c r="A36" s="449" t="s">
        <v>647</v>
      </c>
      <c r="B36" s="425"/>
      <c r="C36" s="454">
        <f>'Tax Calculations'!D66</f>
        <v>14.234376946340472</v>
      </c>
      <c r="D36" s="454">
        <f>'Tax Calculations'!E66</f>
        <v>20.251147527429879</v>
      </c>
      <c r="E36" s="454">
        <f>'Tax Calculations'!F66</f>
        <v>20.544842323982856</v>
      </c>
      <c r="F36" s="454">
        <f>'Tax Calculations'!G66</f>
        <v>21.342766450539369</v>
      </c>
      <c r="G36" s="454">
        <f>'Tax Calculations'!H66</f>
        <v>22.020376520591682</v>
      </c>
      <c r="H36" s="454">
        <f>'Tax Calculations'!I66</f>
        <v>21.938624496939511</v>
      </c>
      <c r="I36" s="454">
        <f>'Tax Calculations'!J66</f>
        <v>21.98971096327778</v>
      </c>
      <c r="J36" s="454">
        <f>'Tax Calculations'!K66</f>
        <v>22.357601024106192</v>
      </c>
      <c r="K36" s="454">
        <f>'Tax Calculations'!L66</f>
        <v>22.73652778675946</v>
      </c>
      <c r="L36" s="454">
        <f>'Tax Calculations'!M66</f>
        <v>23.126822352292322</v>
      </c>
      <c r="M36" s="454">
        <f>'Tax Calculations'!N66</f>
        <v>23.528825754791171</v>
      </c>
      <c r="N36" s="454">
        <f>'Tax Calculations'!O66</f>
        <v>23.942889259364986</v>
      </c>
      <c r="O36" s="454">
        <f>'Tax Calculations'!P66</f>
        <v>24.369374669076013</v>
      </c>
      <c r="P36" s="454">
        <f>'Tax Calculations'!Q66</f>
        <v>24.808654641078377</v>
      </c>
      <c r="Q36" s="454">
        <f>'Tax Calculations'!R66</f>
        <v>25.261113012240813</v>
      </c>
      <c r="R36" s="454">
        <f>'Tax Calculations'!S66</f>
        <v>25.727145134538109</v>
      </c>
      <c r="S36" s="454">
        <f>'Tax Calculations'!T66</f>
        <v>26.207158220504333</v>
      </c>
      <c r="T36" s="454">
        <f>'Tax Calculations'!U66</f>
        <v>26.701571699049548</v>
      </c>
      <c r="U36" s="454">
        <f>'Tax Calculations'!V66</f>
        <v>27.210817581951108</v>
      </c>
      <c r="V36" s="454">
        <f>'Tax Calculations'!W66</f>
        <v>27.735340841339724</v>
      </c>
      <c r="W36" s="455">
        <f>'Tax Calculations'!X66</f>
        <v>23.574003129429919</v>
      </c>
      <c r="X36" s="717"/>
      <c r="Y36" s="717"/>
      <c r="Z36" s="717"/>
      <c r="AA36" s="717"/>
      <c r="AB36" s="257"/>
      <c r="AC36" s="257"/>
      <c r="AD36" s="257"/>
      <c r="AE36" s="257"/>
      <c r="AF36" s="257"/>
      <c r="AG36" s="257"/>
    </row>
    <row r="37" spans="1:33">
      <c r="A37" s="560" t="s">
        <v>374</v>
      </c>
      <c r="B37" s="148"/>
      <c r="C37" s="995">
        <f>C44*'Maintenance Reserves'!D7*('Project Assumptions'!$H$8+'Project Assumptions'!$I$8)*'Project Assumptions'!$N$59/1000</f>
        <v>0</v>
      </c>
      <c r="D37" s="995">
        <f>D44*'Maintenance Reserves'!E7*('Project Assumptions'!$H$8+'Project Assumptions'!$I$8)*'Project Assumptions'!$N$59/1000</f>
        <v>0</v>
      </c>
      <c r="E37" s="995">
        <f>E44*'Maintenance Reserves'!F7*('Project Assumptions'!$H$8+'Project Assumptions'!$I$8)*'Project Assumptions'!$N$59/1000</f>
        <v>0</v>
      </c>
      <c r="F37" s="995">
        <f>F44*'Maintenance Reserves'!G7*('Project Assumptions'!$H$8+'Project Assumptions'!$I$8)*'Project Assumptions'!$N$59/1000</f>
        <v>0</v>
      </c>
      <c r="G37" s="995">
        <f>G44*'Maintenance Reserves'!H7*('Project Assumptions'!$H$8+'Project Assumptions'!$I$8)*'Project Assumptions'!$N$59/1000</f>
        <v>0</v>
      </c>
      <c r="H37" s="995">
        <f>H44*'Maintenance Reserves'!I7*('Project Assumptions'!$H$8+'Project Assumptions'!$I$8)*'Project Assumptions'!$N$59/1000</f>
        <v>0</v>
      </c>
      <c r="I37" s="995">
        <f>I44*'Maintenance Reserves'!J7*('Project Assumptions'!$H$8+'Project Assumptions'!$I$8)*'Project Assumptions'!$N$59/1000</f>
        <v>0</v>
      </c>
      <c r="J37" s="995">
        <f>J44*'Maintenance Reserves'!K7*('Project Assumptions'!$H$8+'Project Assumptions'!$I$8)*'Project Assumptions'!$N$59/1000</f>
        <v>0</v>
      </c>
      <c r="K37" s="995">
        <f>K44*'Maintenance Reserves'!L7*('Project Assumptions'!$H$8+'Project Assumptions'!$I$8)*'Project Assumptions'!$N$59/1000</f>
        <v>0</v>
      </c>
      <c r="L37" s="995">
        <f>L44*'Maintenance Reserves'!M7*('Project Assumptions'!$H$8+'Project Assumptions'!$I$8)*'Project Assumptions'!$N$59/1000</f>
        <v>0</v>
      </c>
      <c r="M37" s="995">
        <f>M44*'Maintenance Reserves'!N7*('Project Assumptions'!$H$8+'Project Assumptions'!$I$8)*'Project Assumptions'!$N$59/1000</f>
        <v>0</v>
      </c>
      <c r="N37" s="995">
        <f>N44*'Maintenance Reserves'!O7*('Project Assumptions'!$H$8+'Project Assumptions'!$I$8)*'Project Assumptions'!$N$59/1000</f>
        <v>0</v>
      </c>
      <c r="O37" s="995">
        <f>O44*'Maintenance Reserves'!P7*('Project Assumptions'!$H$8+'Project Assumptions'!$I$8)*'Project Assumptions'!$N$59/1000</f>
        <v>0</v>
      </c>
      <c r="P37" s="995">
        <f>P44*'Maintenance Reserves'!Q7*('Project Assumptions'!$H$8+'Project Assumptions'!$I$8)*'Project Assumptions'!$N$59/1000</f>
        <v>0</v>
      </c>
      <c r="Q37" s="995">
        <f>Q44*'Maintenance Reserves'!R7*('Project Assumptions'!$H$8+'Project Assumptions'!$I$8)*'Project Assumptions'!$N$59/1000</f>
        <v>0</v>
      </c>
      <c r="R37" s="995">
        <f>R44*'Maintenance Reserves'!S7*('Project Assumptions'!$H$8+'Project Assumptions'!$I$8)*'Project Assumptions'!$N$59/1000</f>
        <v>0</v>
      </c>
      <c r="S37" s="995">
        <f>S44*'Maintenance Reserves'!T7*('Project Assumptions'!$H$8+'Project Assumptions'!$I$8)*'Project Assumptions'!$N$59/1000</f>
        <v>0</v>
      </c>
      <c r="T37" s="995">
        <f>T44*'Maintenance Reserves'!U7*('Project Assumptions'!$H$8+'Project Assumptions'!$I$8)*'Project Assumptions'!$N$59/1000</f>
        <v>0</v>
      </c>
      <c r="U37" s="995">
        <f>U44*'Maintenance Reserves'!V7*('Project Assumptions'!$H$8+'Project Assumptions'!$I$8)*'Project Assumptions'!$N$59/1000</f>
        <v>0</v>
      </c>
      <c r="V37" s="995">
        <f>V44*'Maintenance Reserves'!W7*('Project Assumptions'!$H$8+'Project Assumptions'!$I$8)*'Project Assumptions'!$N$59/1000</f>
        <v>0</v>
      </c>
      <c r="W37" s="996">
        <f>W44*'Maintenance Reserves'!X7*('Project Assumptions'!$H$8+'Project Assumptions'!$I$8)*'Project Assumptions'!$N$59/1000</f>
        <v>0</v>
      </c>
      <c r="X37" s="722"/>
      <c r="Y37" s="722"/>
      <c r="Z37" s="722"/>
      <c r="AA37" s="722"/>
    </row>
    <row r="38" spans="1:33">
      <c r="A38" s="774" t="s">
        <v>375</v>
      </c>
      <c r="B38" s="551"/>
      <c r="C38" s="546">
        <f>SUM(C35:C37)</f>
        <v>16697.354376946339</v>
      </c>
      <c r="D38" s="546">
        <f t="shared" ref="D38:W38" si="1">SUM(D35:D37)</f>
        <v>16703.371147527429</v>
      </c>
      <c r="E38" s="546">
        <f t="shared" si="1"/>
        <v>16703.664842323982</v>
      </c>
      <c r="F38" s="546">
        <f t="shared" si="1"/>
        <v>17066.364663683875</v>
      </c>
      <c r="G38" s="546">
        <f t="shared" si="1"/>
        <v>17182.539304520589</v>
      </c>
      <c r="H38" s="546">
        <f t="shared" si="1"/>
        <v>17182.457552496937</v>
      </c>
      <c r="I38" s="546">
        <f t="shared" si="1"/>
        <v>17182.508638963274</v>
      </c>
      <c r="J38" s="546">
        <f t="shared" si="1"/>
        <v>17182.876529024103</v>
      </c>
      <c r="K38" s="546">
        <f t="shared" si="1"/>
        <v>17183.255455786759</v>
      </c>
      <c r="L38" s="546">
        <f t="shared" si="1"/>
        <v>17183.645750352291</v>
      </c>
      <c r="M38" s="546">
        <f t="shared" si="1"/>
        <v>17184.047753754789</v>
      </c>
      <c r="N38" s="546">
        <f t="shared" si="1"/>
        <v>17184.461817259362</v>
      </c>
      <c r="O38" s="546">
        <f t="shared" si="1"/>
        <v>17184.888302669075</v>
      </c>
      <c r="P38" s="546">
        <f t="shared" si="1"/>
        <v>17185.327582641075</v>
      </c>
      <c r="Q38" s="546">
        <f t="shared" si="1"/>
        <v>17185.78004101224</v>
      </c>
      <c r="R38" s="546">
        <f t="shared" si="1"/>
        <v>17186.246073134535</v>
      </c>
      <c r="S38" s="546">
        <f t="shared" si="1"/>
        <v>17186.7260862205</v>
      </c>
      <c r="T38" s="546">
        <f t="shared" si="1"/>
        <v>17187.220499699048</v>
      </c>
      <c r="U38" s="546">
        <f t="shared" si="1"/>
        <v>17187.72974558195</v>
      </c>
      <c r="V38" s="546">
        <f t="shared" si="1"/>
        <v>17188.254268841338</v>
      </c>
      <c r="W38" s="997">
        <f t="shared" si="1"/>
        <v>17184.092931129428</v>
      </c>
      <c r="X38" s="722"/>
      <c r="Y38" s="722"/>
      <c r="Z38" s="722"/>
      <c r="AA38" s="722"/>
    </row>
    <row r="39" spans="1:33" s="42" customFormat="1" ht="12.6" customHeight="1">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c r="AE39" s="205"/>
      <c r="AF39" s="205"/>
      <c r="AG39" s="205"/>
    </row>
    <row r="40" spans="1:33" s="56" customFormat="1" ht="15.75">
      <c r="A40" s="681" t="s">
        <v>76</v>
      </c>
      <c r="B40" s="534"/>
      <c r="C40" s="534"/>
      <c r="D40" s="534"/>
      <c r="E40" s="534"/>
      <c r="F40" s="534"/>
      <c r="G40" s="534"/>
      <c r="H40" s="534"/>
      <c r="I40" s="534"/>
      <c r="J40" s="534"/>
      <c r="K40" s="534"/>
      <c r="L40" s="534"/>
      <c r="M40" s="534"/>
      <c r="N40" s="534"/>
      <c r="O40" s="534"/>
      <c r="P40" s="534"/>
      <c r="Q40" s="534"/>
      <c r="R40" s="534"/>
      <c r="S40" s="534"/>
      <c r="T40" s="534"/>
      <c r="U40" s="534"/>
      <c r="V40" s="534"/>
      <c r="W40" s="507"/>
      <c r="X40" s="646"/>
      <c r="Y40" s="646"/>
      <c r="Z40" s="646"/>
      <c r="AA40" s="646"/>
      <c r="AB40" s="646"/>
      <c r="AC40" s="646"/>
      <c r="AD40" s="646"/>
      <c r="AE40" s="646"/>
      <c r="AF40" s="646"/>
      <c r="AG40" s="646"/>
    </row>
    <row r="41" spans="1:33" s="5" customFormat="1" ht="12.6" customHeight="1">
      <c r="A41" s="449" t="s">
        <v>223</v>
      </c>
      <c r="B41" s="425"/>
      <c r="C41" s="998">
        <v>2.0071320833333335</v>
      </c>
      <c r="D41" s="998">
        <v>2.3047591666666665</v>
      </c>
      <c r="E41" s="998">
        <v>2.343126666666667</v>
      </c>
      <c r="F41" s="998">
        <v>2.3712799999999996</v>
      </c>
      <c r="G41" s="998">
        <v>2.4088749999999997</v>
      </c>
      <c r="H41" s="998">
        <v>2.4571133333333335</v>
      </c>
      <c r="I41" s="998">
        <v>2.5153083333333335</v>
      </c>
      <c r="J41" s="998">
        <v>2.5888675000000001</v>
      </c>
      <c r="K41" s="998">
        <v>2.6775333333333329</v>
      </c>
      <c r="L41" s="998">
        <v>2.7819925000000003</v>
      </c>
      <c r="M41" s="998">
        <v>2.9063650000000005</v>
      </c>
      <c r="N41" s="998">
        <v>3.0519383333333341</v>
      </c>
      <c r="O41" s="998">
        <v>3.2181116666666676</v>
      </c>
      <c r="P41" s="998">
        <v>3.3954433333333331</v>
      </c>
      <c r="Q41" s="998">
        <v>3.5830750000000005</v>
      </c>
      <c r="R41" s="998">
        <v>3.7762858333333331</v>
      </c>
      <c r="S41" s="998">
        <v>3.9770499999999998</v>
      </c>
      <c r="T41" s="998">
        <v>4.2069974999999991</v>
      </c>
      <c r="U41" s="998">
        <v>4.404585833333333</v>
      </c>
      <c r="V41" s="998">
        <v>4.6051783333333329</v>
      </c>
      <c r="W41" s="999">
        <v>4.7124658666666663</v>
      </c>
      <c r="X41" s="723"/>
      <c r="Y41" s="723"/>
      <c r="Z41" s="723"/>
      <c r="AA41" s="723"/>
      <c r="AB41" s="267"/>
      <c r="AC41" s="267"/>
      <c r="AD41" s="267"/>
      <c r="AE41" s="267"/>
      <c r="AF41" s="267"/>
      <c r="AG41" s="267"/>
    </row>
    <row r="42" spans="1:33" s="3" customFormat="1" ht="12.6" customHeight="1">
      <c r="A42" s="449" t="s">
        <v>238</v>
      </c>
      <c r="B42" s="425"/>
      <c r="C42" s="1000">
        <f>IF('PPA Assumptions &amp;Summary'!C3&gt;'Project Assumptions'!$I$15,0,'Project Assumptions'!$C$65)</f>
        <v>2.5</v>
      </c>
      <c r="D42" s="1000">
        <f>IF('PPA Assumptions &amp;Summary'!D3&gt;'Project Assumptions'!$I$15,0,'Project Assumptions'!$C$65)</f>
        <v>2.5</v>
      </c>
      <c r="E42" s="1000">
        <f>IF('PPA Assumptions &amp;Summary'!E3&gt;'Project Assumptions'!$I$15,0,'Project Assumptions'!$C$65)</f>
        <v>2.5</v>
      </c>
      <c r="F42" s="1000">
        <f>IF('PPA Assumptions &amp;Summary'!F3&gt;'Project Assumptions'!$I$15,0,'Project Assumptions'!$C$65)</f>
        <v>2.5</v>
      </c>
      <c r="G42" s="1000">
        <f>IF('PPA Assumptions &amp;Summary'!G3&gt;'Project Assumptions'!$I$15,0,'Project Assumptions'!$C$65)</f>
        <v>2.5</v>
      </c>
      <c r="H42" s="1000">
        <f>IF('PPA Assumptions &amp;Summary'!H3&gt;'Project Assumptions'!$I$15,0,'Project Assumptions'!$C$65)</f>
        <v>2.5</v>
      </c>
      <c r="I42" s="1000">
        <f>IF('PPA Assumptions &amp;Summary'!I3&gt;'Project Assumptions'!$I$15,0,'Project Assumptions'!$C$65)</f>
        <v>2.5</v>
      </c>
      <c r="J42" s="1000">
        <f>IF('PPA Assumptions &amp;Summary'!J3&gt;'Project Assumptions'!$I$15,0,'Project Assumptions'!$C$65)</f>
        <v>2.5</v>
      </c>
      <c r="K42" s="1000">
        <f>IF('PPA Assumptions &amp;Summary'!K3&gt;'Project Assumptions'!$I$15,0,'Project Assumptions'!$C$65)</f>
        <v>2.5</v>
      </c>
      <c r="L42" s="1000">
        <f>IF('PPA Assumptions &amp;Summary'!L3&gt;'Project Assumptions'!$I$15,0,'Project Assumptions'!$C$65)</f>
        <v>2.5</v>
      </c>
      <c r="M42" s="1000">
        <f>IF('PPA Assumptions &amp;Summary'!M3&gt;'Project Assumptions'!$I$15,0,'Project Assumptions'!$C$65)</f>
        <v>2.5</v>
      </c>
      <c r="N42" s="1000">
        <f>IF('PPA Assumptions &amp;Summary'!N3&gt;'Project Assumptions'!$I$15,0,'Project Assumptions'!$C$65)</f>
        <v>2.5</v>
      </c>
      <c r="O42" s="1000">
        <f>IF('PPA Assumptions &amp;Summary'!O3&gt;'Project Assumptions'!$I$15,0,'Project Assumptions'!$C$65)</f>
        <v>2.5</v>
      </c>
      <c r="P42" s="1000">
        <f>IF('PPA Assumptions &amp;Summary'!P3&gt;'Project Assumptions'!$I$15,0,'Project Assumptions'!$C$65)</f>
        <v>2.5</v>
      </c>
      <c r="Q42" s="1000">
        <f>IF('PPA Assumptions &amp;Summary'!Q3&gt;'Project Assumptions'!$I$15,0,'Project Assumptions'!$C$65)</f>
        <v>2.5</v>
      </c>
      <c r="R42" s="1000">
        <f>IF('PPA Assumptions &amp;Summary'!R3&gt;'Project Assumptions'!$I$15,0,'Project Assumptions'!$C$65)</f>
        <v>2.5</v>
      </c>
      <c r="S42" s="1000">
        <f>IF('PPA Assumptions &amp;Summary'!S3&gt;'Project Assumptions'!$I$15,0,'Project Assumptions'!$C$65)</f>
        <v>2.5</v>
      </c>
      <c r="T42" s="1000">
        <f>IF('PPA Assumptions &amp;Summary'!T3&gt;'Project Assumptions'!$I$15,0,'Project Assumptions'!$C$65)</f>
        <v>2.5</v>
      </c>
      <c r="U42" s="1000">
        <f>IF('PPA Assumptions &amp;Summary'!U3&gt;'Project Assumptions'!$I$15,0,'Project Assumptions'!$C$65)</f>
        <v>2.5</v>
      </c>
      <c r="V42" s="1000">
        <f>IF('PPA Assumptions &amp;Summary'!V3&gt;'Project Assumptions'!$I$15,0,'Project Assumptions'!$C$65)</f>
        <v>2.5</v>
      </c>
      <c r="W42" s="1001">
        <f>IF('PPA Assumptions &amp;Summary'!W3&gt;'Project Assumptions'!$I$15+1,0,'Project Assumptions'!$C$65)</f>
        <v>2.5</v>
      </c>
      <c r="X42" s="723"/>
      <c r="Y42" s="723"/>
      <c r="Z42" s="723"/>
      <c r="AA42" s="723"/>
      <c r="AB42" s="257"/>
      <c r="AC42" s="205"/>
      <c r="AD42" s="257"/>
      <c r="AE42" s="257"/>
      <c r="AF42" s="257"/>
      <c r="AG42" s="257"/>
    </row>
    <row r="43" spans="1:33" s="5" customFormat="1" ht="12.6" customHeight="1">
      <c r="A43" s="673" t="s">
        <v>649</v>
      </c>
      <c r="B43" s="453"/>
      <c r="C43" s="1062">
        <v>0</v>
      </c>
      <c r="D43" s="1062">
        <v>0</v>
      </c>
      <c r="E43" s="1062">
        <v>0</v>
      </c>
      <c r="F43" s="1062">
        <v>0</v>
      </c>
      <c r="G43" s="1062">
        <v>0</v>
      </c>
      <c r="H43" s="1062">
        <v>0</v>
      </c>
      <c r="I43" s="1062">
        <v>0</v>
      </c>
      <c r="J43" s="1062">
        <v>0</v>
      </c>
      <c r="K43" s="1062">
        <v>0</v>
      </c>
      <c r="L43" s="1062">
        <v>0</v>
      </c>
      <c r="M43" s="1062">
        <v>0</v>
      </c>
      <c r="N43" s="1062">
        <v>0</v>
      </c>
      <c r="O43" s="1062">
        <v>0</v>
      </c>
      <c r="P43" s="1062">
        <v>0</v>
      </c>
      <c r="Q43" s="1062">
        <v>0</v>
      </c>
      <c r="R43" s="1062">
        <v>0</v>
      </c>
      <c r="S43" s="1062">
        <v>0</v>
      </c>
      <c r="T43" s="1062">
        <v>0</v>
      </c>
      <c r="U43" s="1062">
        <v>0</v>
      </c>
      <c r="V43" s="1062">
        <v>0</v>
      </c>
      <c r="W43" s="1062">
        <v>0</v>
      </c>
      <c r="X43" s="724"/>
      <c r="Y43" s="724"/>
      <c r="Z43" s="724"/>
      <c r="AA43" s="724"/>
      <c r="AB43" s="267"/>
      <c r="AC43" s="267"/>
      <c r="AD43" s="267"/>
      <c r="AE43" s="267"/>
      <c r="AF43" s="267"/>
      <c r="AG43" s="267"/>
    </row>
    <row r="44" spans="1:33" s="5" customFormat="1" ht="12.6" customHeight="1">
      <c r="A44" s="673" t="s">
        <v>237</v>
      </c>
      <c r="B44" s="453"/>
      <c r="C44" s="1002">
        <f>IF(AND('Project Assumptions'!$C$64="Fixed",C43&gt;0),C42*(1+C43),IF(AND('Project Assumptions'!$C$64="Index",C43&gt;0),C41+((0.03*('Book Income Statement'!D25+'Book Income Statement'!D26+'Book Income Statement'!D27+'Book Income Statement'!D42+'Book Income Statement'!D51)*C43))/C33,IF('Project Assumptions'!$C$64="Fixed",C42,C41)))</f>
        <v>2.5</v>
      </c>
      <c r="D44" s="1002">
        <f>IF(AND('Project Assumptions'!$C$64="Fixed",D43&gt;0),D42*(1+D43),IF(AND('Project Assumptions'!$C$64="Index",D43&gt;0),D41+((0.03*('Book Income Statement'!E25+'Book Income Statement'!E26+'Book Income Statement'!E27+'Book Income Statement'!E42+'Book Income Statement'!E51)*D43))/D33,IF('Project Assumptions'!$C$64="Fixed",D42,D41)))</f>
        <v>2.5</v>
      </c>
      <c r="E44" s="1002">
        <f>IF(AND('Project Assumptions'!$C$64="Fixed",E43&gt;0),E42*(1+E43),IF(AND('Project Assumptions'!$C$64="Index",E43&gt;0),E41+((0.03*('Book Income Statement'!F25+'Book Income Statement'!F26+'Book Income Statement'!F27+'Book Income Statement'!F42+'Book Income Statement'!F51)*E43))/E33,IF('Project Assumptions'!$C$64="Fixed",E42,E41)))</f>
        <v>2.5</v>
      </c>
      <c r="F44" s="1002">
        <f>IF(AND('Project Assumptions'!$C$64="Fixed",F43&gt;0),F42*(1+F43),IF(AND('Project Assumptions'!$C$64="Index",F43&gt;0),F41+((0.03*('Book Income Statement'!G25+'Book Income Statement'!G26+'Book Income Statement'!G27+'Book Income Statement'!G42+'Book Income Statement'!G51)*F43))/F33,IF('Project Assumptions'!$C$64="Fixed",F42,F41)))</f>
        <v>2.5</v>
      </c>
      <c r="G44" s="1002">
        <f>IF(AND('Project Assumptions'!$C$64="Fixed",G43&gt;0),G42*(1+G43),IF(AND('Project Assumptions'!$C$64="Index",G43&gt;0),G41+((0.03*('Book Income Statement'!H25+'Book Income Statement'!H26+'Book Income Statement'!H27+'Book Income Statement'!H42+'Book Income Statement'!H51)*G43))/G33,IF('Project Assumptions'!$C$64="Fixed",G42,G41)))</f>
        <v>2.5</v>
      </c>
      <c r="H44" s="1002">
        <f>IF(AND('Project Assumptions'!$C$64="Fixed",H43&gt;0),H42*(1+H43),IF(AND('Project Assumptions'!$C$64="Index",H43&gt;0),H41+((0.03*('Book Income Statement'!I25+'Book Income Statement'!I26+'Book Income Statement'!I27+'Book Income Statement'!I42+'Book Income Statement'!I51)*H43))/H33,IF('Project Assumptions'!$C$64="Fixed",H42,H41)))</f>
        <v>2.5</v>
      </c>
      <c r="I44" s="1002">
        <f>IF(AND('Project Assumptions'!$C$64="Fixed",I43&gt;0),I42*(1+I43),IF(AND('Project Assumptions'!$C$64="Index",I43&gt;0),I41+((0.03*('Book Income Statement'!J25+'Book Income Statement'!J26+'Book Income Statement'!J27+'Book Income Statement'!J42+'Book Income Statement'!J51)*I43))/I33,IF('Project Assumptions'!$C$64="Fixed",I42,I41)))</f>
        <v>2.5</v>
      </c>
      <c r="J44" s="1002">
        <f>IF(AND('Project Assumptions'!$C$64="Fixed",J43&gt;0),J42*(1+J43),IF(AND('Project Assumptions'!$C$64="Index",J43&gt;0),J41+((0.03*('Book Income Statement'!K25+'Book Income Statement'!K26+'Book Income Statement'!K27+'Book Income Statement'!K42+'Book Income Statement'!K51)*J43))/J33,IF('Project Assumptions'!$C$64="Fixed",J42,J41)))</f>
        <v>2.5</v>
      </c>
      <c r="K44" s="1002">
        <f>IF(AND('Project Assumptions'!$C$64="Fixed",K43&gt;0),K42*(1+K43),IF(AND('Project Assumptions'!$C$64="Index",K43&gt;0),K41+((0.03*('Book Income Statement'!L25+'Book Income Statement'!L26+'Book Income Statement'!L27+'Book Income Statement'!L42+'Book Income Statement'!L51)*K43))/K33,IF('Project Assumptions'!$C$64="Fixed",K42,K41)))</f>
        <v>2.5</v>
      </c>
      <c r="L44" s="1002">
        <f>IF(AND('Project Assumptions'!$C$64="Fixed",L43&gt;0),L42*(1+L43),IF(AND('Project Assumptions'!$C$64="Index",L43&gt;0),L41+((0.03*('Book Income Statement'!M25+'Book Income Statement'!M26+'Book Income Statement'!M27+'Book Income Statement'!M42+'Book Income Statement'!M51)*L43))/L33,IF('Project Assumptions'!$C$64="Fixed",L42,L41)))</f>
        <v>2.5</v>
      </c>
      <c r="M44" s="1002">
        <f>IF(AND('Project Assumptions'!$C$64="Fixed",M43&gt;0),M42*(1+M43),IF(AND('Project Assumptions'!$C$64="Index",M43&gt;0),M41+((0.03*('Book Income Statement'!N25+'Book Income Statement'!N26+'Book Income Statement'!N27+'Book Income Statement'!N42+'Book Income Statement'!N51)*M43))/M33,IF('Project Assumptions'!$C$64="Fixed",M42,M41)))</f>
        <v>2.5</v>
      </c>
      <c r="N44" s="1002">
        <f>IF(AND('Project Assumptions'!$C$64="Fixed",N43&gt;0),N42*(1+N43),IF(AND('Project Assumptions'!$C$64="Index",N43&gt;0),N41+((0.03*('Book Income Statement'!O25+'Book Income Statement'!O26+'Book Income Statement'!O27+'Book Income Statement'!O42+'Book Income Statement'!O51)*N43))/N33,IF('Project Assumptions'!$C$64="Fixed",N42,N41)))</f>
        <v>2.5</v>
      </c>
      <c r="O44" s="1002">
        <f>IF(AND('Project Assumptions'!$C$64="Fixed",O43&gt;0),O42*(1+O43),IF(AND('Project Assumptions'!$C$64="Index",O43&gt;0),O41+((0.03*('Book Income Statement'!P25+'Book Income Statement'!P26+'Book Income Statement'!P27+'Book Income Statement'!P42+'Book Income Statement'!P51)*O43))/O33,IF('Project Assumptions'!$C$64="Fixed",O42,O41)))</f>
        <v>2.5</v>
      </c>
      <c r="P44" s="1002">
        <f>IF(AND('Project Assumptions'!$C$64="Fixed",P43&gt;0),P42*(1+P43),IF(AND('Project Assumptions'!$C$64="Index",P43&gt;0),P41+((0.03*('Book Income Statement'!Q25+'Book Income Statement'!Q26+'Book Income Statement'!Q27+'Book Income Statement'!Q42+'Book Income Statement'!Q51)*P43))/P33,IF('Project Assumptions'!$C$64="Fixed",P42,P41)))</f>
        <v>2.5</v>
      </c>
      <c r="Q44" s="1002">
        <f>IF(AND('Project Assumptions'!$C$64="Fixed",Q43&gt;0),Q42*(1+Q43),IF(AND('Project Assumptions'!$C$64="Index",Q43&gt;0),Q41+((0.03*('Book Income Statement'!R25+'Book Income Statement'!R26+'Book Income Statement'!R27+'Book Income Statement'!R42+'Book Income Statement'!R51)*Q43))/Q33,IF('Project Assumptions'!$C$64="Fixed",Q42,Q41)))</f>
        <v>2.5</v>
      </c>
      <c r="R44" s="1002">
        <f>IF(AND('Project Assumptions'!$C$64="Fixed",R43&gt;0),R42*(1+R43),IF(AND('Project Assumptions'!$C$64="Index",R43&gt;0),R41+((0.03*('Book Income Statement'!S25+'Book Income Statement'!S26+'Book Income Statement'!S27+'Book Income Statement'!S42+'Book Income Statement'!S51)*R43))/R33,IF('Project Assumptions'!$C$64="Fixed",R42,R41)))</f>
        <v>2.5</v>
      </c>
      <c r="S44" s="1002">
        <f>IF(AND('Project Assumptions'!$C$64="Fixed",S43&gt;0),S42*(1+S43),IF(AND('Project Assumptions'!$C$64="Index",S43&gt;0),S41+((0.03*('Book Income Statement'!T25+'Book Income Statement'!T26+'Book Income Statement'!T27+'Book Income Statement'!T42+'Book Income Statement'!T51)*S43))/S33,IF('Project Assumptions'!$C$64="Fixed",S42,S41)))</f>
        <v>2.5</v>
      </c>
      <c r="T44" s="1002">
        <f>IF(AND('Project Assumptions'!$C$64="Fixed",T43&gt;0),T42*(1+T43),IF(AND('Project Assumptions'!$C$64="Index",T43&gt;0),T41+((0.03*('Book Income Statement'!U25+'Book Income Statement'!U26+'Book Income Statement'!U27+'Book Income Statement'!U42+'Book Income Statement'!U51)*T43))/T33,IF('Project Assumptions'!$C$64="Fixed",T42,T41)))</f>
        <v>2.5</v>
      </c>
      <c r="U44" s="1002">
        <f>IF(AND('Project Assumptions'!$C$64="Fixed",U43&gt;0),U42*(1+U43),IF(AND('Project Assumptions'!$C$64="Index",U43&gt;0),U41+((0.03*('Book Income Statement'!V25+'Book Income Statement'!V26+'Book Income Statement'!V27+'Book Income Statement'!V42+'Book Income Statement'!V51)*U43))/U33,IF('Project Assumptions'!$C$64="Fixed",U42,U41)))</f>
        <v>2.5</v>
      </c>
      <c r="V44" s="1002">
        <f>IF(AND('Project Assumptions'!$C$64="Fixed",V43&gt;0),V42*(1+V43),IF(AND('Project Assumptions'!$C$64="Index",V43&gt;0),V41+((0.03*('Book Income Statement'!W25+'Book Income Statement'!W26+'Book Income Statement'!W27+'Book Income Statement'!W42+'Book Income Statement'!W51)*V43))/V33,IF('Project Assumptions'!$C$64="Fixed",V42,V41)))</f>
        <v>2.5</v>
      </c>
      <c r="W44" s="1003">
        <f>IF(AND('Project Assumptions'!$C$64="Fixed",W43&gt;0),W42*(1+W43),IF(AND('Project Assumptions'!$C$64="Index",W43&gt;0),W41+((0.03*('Book Income Statement'!X25+'Book Income Statement'!X26+'Book Income Statement'!X27+'Book Income Statement'!X42+'Book Income Statement'!X51)*W43))/W33,IF('Project Assumptions'!$C$64="Fixed",W42,W41)))</f>
        <v>2.5</v>
      </c>
      <c r="X44" s="725"/>
      <c r="Y44" s="725"/>
      <c r="Z44" s="725"/>
      <c r="AA44" s="725"/>
      <c r="AB44" s="267"/>
      <c r="AC44" s="267"/>
      <c r="AD44" s="267"/>
      <c r="AE44" s="267"/>
      <c r="AF44" s="267"/>
      <c r="AG44" s="267"/>
    </row>
    <row r="45" spans="1:33" s="5" customFormat="1" ht="12.6" customHeight="1">
      <c r="A45" s="673"/>
      <c r="B45" s="453"/>
      <c r="C45" s="1002"/>
      <c r="D45" s="1002"/>
      <c r="E45" s="1002"/>
      <c r="F45" s="1002"/>
      <c r="G45" s="1002"/>
      <c r="H45" s="1002"/>
      <c r="I45" s="1002"/>
      <c r="J45" s="1002"/>
      <c r="K45" s="1002"/>
      <c r="L45" s="1002"/>
      <c r="M45" s="1002"/>
      <c r="N45" s="1002"/>
      <c r="O45" s="1002"/>
      <c r="P45" s="1002"/>
      <c r="Q45" s="1002"/>
      <c r="R45" s="1002"/>
      <c r="S45" s="1002"/>
      <c r="T45" s="1002"/>
      <c r="U45" s="1002"/>
      <c r="V45" s="1002"/>
      <c r="W45" s="1003"/>
      <c r="X45" s="725"/>
      <c r="Y45" s="725"/>
      <c r="Z45" s="725"/>
      <c r="AA45" s="725"/>
      <c r="AB45" s="267"/>
      <c r="AC45" s="267"/>
      <c r="AD45" s="267"/>
      <c r="AE45" s="267"/>
      <c r="AF45" s="267"/>
      <c r="AG45" s="267"/>
    </row>
    <row r="46" spans="1:33" s="3" customFormat="1" ht="12.6" customHeight="1">
      <c r="A46" s="449" t="s">
        <v>224</v>
      </c>
      <c r="B46" s="425"/>
      <c r="C46" s="1000">
        <v>21.1797</v>
      </c>
      <c r="D46" s="1000">
        <v>22.012950000000004</v>
      </c>
      <c r="E46" s="1000">
        <v>23.558250000000001</v>
      </c>
      <c r="F46" s="1000">
        <v>24.588449999999998</v>
      </c>
      <c r="G46" s="1000">
        <v>26.462</v>
      </c>
      <c r="H46" s="1000">
        <v>29.110725000000002</v>
      </c>
      <c r="I46" s="1000">
        <v>31.221625000000003</v>
      </c>
      <c r="J46" s="1000">
        <v>32.913375000000002</v>
      </c>
      <c r="K46" s="1000">
        <v>31.893274999999999</v>
      </c>
      <c r="L46" s="1000">
        <v>34.744</v>
      </c>
      <c r="M46" s="1000">
        <v>38.104774999999997</v>
      </c>
      <c r="N46" s="1000">
        <v>40.056599999999996</v>
      </c>
      <c r="O46" s="1000">
        <v>39.882374999999996</v>
      </c>
      <c r="P46" s="1000">
        <v>39.331925000000005</v>
      </c>
      <c r="Q46" s="1000">
        <v>46.321124999999995</v>
      </c>
      <c r="R46" s="1000">
        <v>44.642000000000003</v>
      </c>
      <c r="S46" s="1000">
        <v>50.891375000000004</v>
      </c>
      <c r="T46" s="1000">
        <v>50.096000000000004</v>
      </c>
      <c r="U46" s="1000">
        <v>49.431925</v>
      </c>
      <c r="V46" s="1000">
        <v>56.320125000000004</v>
      </c>
      <c r="W46" s="1001">
        <v>52.045300000000005</v>
      </c>
      <c r="X46" s="723"/>
      <c r="Y46" s="723"/>
      <c r="Z46" s="723"/>
      <c r="AA46" s="723"/>
      <c r="AB46" s="257"/>
      <c r="AC46" s="257"/>
      <c r="AD46" s="257"/>
      <c r="AE46" s="257"/>
      <c r="AF46" s="257"/>
      <c r="AG46" s="257"/>
    </row>
    <row r="47" spans="1:33">
      <c r="A47" s="677" t="s">
        <v>225</v>
      </c>
      <c r="B47" s="551"/>
      <c r="C47" s="1004" t="str">
        <f>IF('PPA Assumptions &amp;Summary'!C3&gt;ProjectLife,'Project Assumptions'!$C$72,"")</f>
        <v/>
      </c>
      <c r="D47" s="1004" t="str">
        <f>IF('PPA Assumptions &amp;Summary'!D3&gt;ProjectLife,'Project Assumptions'!$C$72,"")</f>
        <v/>
      </c>
      <c r="E47" s="1004" t="str">
        <f>IF('PPA Assumptions &amp;Summary'!E3&gt;ProjectLife,'Project Assumptions'!$C$72,"")</f>
        <v/>
      </c>
      <c r="F47" s="1004" t="str">
        <f>IF('PPA Assumptions &amp;Summary'!F3&gt;ProjectLife,'Project Assumptions'!$C$72,"")</f>
        <v/>
      </c>
      <c r="G47" s="1004" t="str">
        <f>IF('PPA Assumptions &amp;Summary'!G3&gt;ProjectLife,'Project Assumptions'!$C$72,"")</f>
        <v/>
      </c>
      <c r="H47" s="1004" t="str">
        <f>IF('PPA Assumptions &amp;Summary'!H3&gt;ProjectLife,'Project Assumptions'!$C$72,"")</f>
        <v/>
      </c>
      <c r="I47" s="1004" t="str">
        <f>IF('PPA Assumptions &amp;Summary'!I3&gt;ProjectLife,'Project Assumptions'!$C$72,"")</f>
        <v/>
      </c>
      <c r="J47" s="1004" t="str">
        <f>IF('PPA Assumptions &amp;Summary'!J3&gt;ProjectLife,'Project Assumptions'!$C$72,"")</f>
        <v/>
      </c>
      <c r="K47" s="1004" t="str">
        <f>IF('PPA Assumptions &amp;Summary'!K3&gt;ProjectLife,'Project Assumptions'!$C$72,"")</f>
        <v/>
      </c>
      <c r="L47" s="1004" t="str">
        <f>IF('PPA Assumptions &amp;Summary'!L3&gt;ProjectLife,'Project Assumptions'!$C$72,"")</f>
        <v/>
      </c>
      <c r="M47" s="1004" t="str">
        <f>IF('PPA Assumptions &amp;Summary'!M3&gt;ProjectLife,'Project Assumptions'!$C$72,"")</f>
        <v/>
      </c>
      <c r="N47" s="1004" t="str">
        <f>IF('PPA Assumptions &amp;Summary'!N3&gt;ProjectLife,'Project Assumptions'!$C$72,"")</f>
        <v/>
      </c>
      <c r="O47" s="1004" t="str">
        <f>IF('PPA Assumptions &amp;Summary'!O3&gt;ProjectLife,'Project Assumptions'!$C$72,"")</f>
        <v/>
      </c>
      <c r="P47" s="1004" t="str">
        <f>IF('PPA Assumptions &amp;Summary'!P3&gt;ProjectLife,'Project Assumptions'!$C$72,"")</f>
        <v/>
      </c>
      <c r="Q47" s="1004" t="str">
        <f>IF('PPA Assumptions &amp;Summary'!Q3&gt;ProjectLife,'Project Assumptions'!$C$72,"")</f>
        <v/>
      </c>
      <c r="R47" s="1004" t="str">
        <f>IF('PPA Assumptions &amp;Summary'!R3&gt;ProjectLife,'Project Assumptions'!$C$72,"")</f>
        <v/>
      </c>
      <c r="S47" s="1004" t="str">
        <f>IF('PPA Assumptions &amp;Summary'!S3&gt;ProjectLife,'Project Assumptions'!$C$72,"")</f>
        <v/>
      </c>
      <c r="T47" s="1004" t="str">
        <f>IF('PPA Assumptions &amp;Summary'!T3&gt;ProjectLife,'Project Assumptions'!$C$72,"")</f>
        <v/>
      </c>
      <c r="U47" s="1004" t="str">
        <f>IF('PPA Assumptions &amp;Summary'!U3&gt;ProjectLife,'Project Assumptions'!$C$72,"")</f>
        <v/>
      </c>
      <c r="V47" s="1004" t="str">
        <f>IF('PPA Assumptions &amp;Summary'!V3&gt;ProjectLife,'Project Assumptions'!$C$72,"")</f>
        <v/>
      </c>
      <c r="W47" s="1005">
        <f>IF('PPA Assumptions &amp;Summary'!W3&gt;ProjectLife,'Project Assumptions'!$C$72,"")</f>
        <v>0</v>
      </c>
      <c r="X47" s="723"/>
      <c r="Y47" s="723"/>
      <c r="Z47" s="723"/>
      <c r="AA47" s="723"/>
    </row>
    <row r="70" spans="3:10">
      <c r="C70" s="726"/>
      <c r="D70" s="726"/>
      <c r="E70" s="726"/>
      <c r="F70" s="726"/>
      <c r="G70" s="726"/>
      <c r="H70" s="726"/>
      <c r="I70" s="726"/>
      <c r="J70" s="726"/>
    </row>
    <row r="72" spans="3:10" ht="12.6" customHeight="1"/>
  </sheetData>
  <customSheetViews>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2"/>
      <headerFooter alignWithMargins="0">
        <oddFooter>&amp;L&amp;D   &amp;T&amp;RO:\Naes\GenSvcs\TVA\TVA Model\&amp;F
&amp;A &amp;P</oddFooter>
      </headerFooter>
    </customSheetView>
  </customSheetViews>
  <pageMargins left="0.25" right="0.25" top="0.25" bottom="0.5" header="0" footer="0"/>
  <pageSetup scale="52" orientation="landscape" r:id="rId3"/>
  <headerFooter alignWithMargins="0">
    <oddFooter>&amp;L&amp;D   &amp;T&amp;R&amp;F
&amp;A &amp;P</oddFooter>
  </headerFooter>
  <colBreaks count="3" manualBreakCount="3">
    <brk id="14" max="1048575" man="1"/>
    <brk id="31" max="1048575" man="1"/>
    <brk id="48" max="1048575" man="1"/>
  </colBreaks>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4"/>
  <sheetViews>
    <sheetView zoomScale="75" zoomScaleNormal="75" zoomScaleSheetLayoutView="85" workbookViewId="0"/>
  </sheetViews>
  <sheetFormatPr defaultRowHeight="12.75"/>
  <cols>
    <col min="1" max="1" width="36.28515625" style="247" bestFit="1" customWidth="1"/>
    <col min="2" max="3" width="12.42578125" style="247" bestFit="1" customWidth="1"/>
    <col min="4" max="4" width="9.140625" style="247"/>
    <col min="5" max="12" width="11.42578125" style="247" bestFit="1" customWidth="1"/>
    <col min="13" max="13" width="9.85546875" style="247" customWidth="1"/>
    <col min="14" max="29" width="11.42578125" style="247" bestFit="1" customWidth="1"/>
    <col min="30" max="35" width="9.140625" style="247"/>
  </cols>
  <sheetData>
    <row r="1" spans="1:53" ht="20.25">
      <c r="A1" s="727" t="str">
        <f>'Project Assumptions'!$A$2</f>
        <v>GLEASON, TN</v>
      </c>
    </row>
    <row r="2" spans="1:53" ht="15.6" customHeight="1">
      <c r="A2" s="728" t="s">
        <v>198</v>
      </c>
      <c r="E2" s="257"/>
    </row>
    <row r="3" spans="1:53" s="42" customFormat="1" ht="12.6" customHeight="1">
      <c r="A3" s="292"/>
      <c r="B3" s="205"/>
      <c r="C3" s="205"/>
      <c r="D3" s="205"/>
      <c r="E3" s="257"/>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row>
    <row r="4" spans="1:53" ht="12.6" customHeight="1">
      <c r="A4" s="205"/>
      <c r="B4" s="205"/>
      <c r="C4" s="205"/>
      <c r="D4" s="257"/>
      <c r="E4" s="257">
        <f>'Book Income Statement'!D3</f>
        <v>1</v>
      </c>
      <c r="F4" s="257">
        <f>'Book Income Statement'!E3</f>
        <v>2</v>
      </c>
      <c r="G4" s="257">
        <f>'Book Income Statement'!F3</f>
        <v>3</v>
      </c>
      <c r="H4" s="257">
        <f>'Book Income Statement'!G3</f>
        <v>4</v>
      </c>
      <c r="I4" s="257">
        <f>'Book Income Statement'!H3</f>
        <v>5</v>
      </c>
      <c r="J4" s="257">
        <f>'Book Income Statement'!I3</f>
        <v>6</v>
      </c>
      <c r="K4" s="257">
        <f>'Book Income Statement'!J3</f>
        <v>7</v>
      </c>
      <c r="L4" s="257">
        <f>'Book Income Statement'!K3</f>
        <v>8</v>
      </c>
      <c r="M4" s="257">
        <f>'Book Income Statement'!L3</f>
        <v>9</v>
      </c>
      <c r="N4" s="257">
        <f>'Book Income Statement'!M3</f>
        <v>10</v>
      </c>
      <c r="O4" s="257">
        <f>'Book Income Statement'!N3</f>
        <v>11</v>
      </c>
      <c r="P4" s="257">
        <f>'Book Income Statement'!O3</f>
        <v>12</v>
      </c>
      <c r="Q4" s="257">
        <f>'Book Income Statement'!P3</f>
        <v>13</v>
      </c>
      <c r="R4" s="257">
        <f>'Book Income Statement'!Q3</f>
        <v>14</v>
      </c>
      <c r="S4" s="257">
        <f>'Book Income Statement'!R3</f>
        <v>15</v>
      </c>
      <c r="T4" s="257">
        <f>'Book Income Statement'!S3</f>
        <v>16</v>
      </c>
      <c r="U4" s="257">
        <f>'Book Income Statement'!T3</f>
        <v>17</v>
      </c>
      <c r="V4" s="257">
        <f>'Book Income Statement'!U3</f>
        <v>18</v>
      </c>
      <c r="W4" s="257">
        <f>'Book Income Statement'!V3</f>
        <v>19</v>
      </c>
      <c r="X4" s="257">
        <f>'Book Income Statement'!W3</f>
        <v>20</v>
      </c>
      <c r="Y4" s="257">
        <f>'Book Income Statement'!X3</f>
        <v>21</v>
      </c>
      <c r="Z4" s="257">
        <f>'Book Income Statement'!Y3</f>
        <v>22</v>
      </c>
      <c r="AA4" s="257">
        <f>'Book Income Statement'!Z3</f>
        <v>23</v>
      </c>
      <c r="AB4" s="257">
        <f>'Book Income Statement'!AA3</f>
        <v>24</v>
      </c>
      <c r="AC4" s="257">
        <f>'Book Income Statement'!AB3</f>
        <v>25</v>
      </c>
    </row>
    <row r="5" spans="1:53" s="1" customFormat="1" ht="12.6" customHeight="1">
      <c r="A5" s="436"/>
      <c r="B5" s="607"/>
      <c r="C5" s="437"/>
      <c r="D5" s="437"/>
      <c r="E5" s="729">
        <f>YEAR('Project Assumptions'!$G$16)</f>
        <v>2000</v>
      </c>
      <c r="F5" s="729">
        <f>E5+1</f>
        <v>2001</v>
      </c>
      <c r="G5" s="729">
        <f t="shared" ref="G5:AC5" si="0">F5+1</f>
        <v>2002</v>
      </c>
      <c r="H5" s="729">
        <f t="shared" si="0"/>
        <v>2003</v>
      </c>
      <c r="I5" s="729">
        <f t="shared" si="0"/>
        <v>2004</v>
      </c>
      <c r="J5" s="729">
        <f t="shared" si="0"/>
        <v>2005</v>
      </c>
      <c r="K5" s="729">
        <f t="shared" si="0"/>
        <v>2006</v>
      </c>
      <c r="L5" s="729">
        <f t="shared" si="0"/>
        <v>2007</v>
      </c>
      <c r="M5" s="729">
        <f t="shared" si="0"/>
        <v>2008</v>
      </c>
      <c r="N5" s="729">
        <f t="shared" si="0"/>
        <v>2009</v>
      </c>
      <c r="O5" s="729">
        <f t="shared" si="0"/>
        <v>2010</v>
      </c>
      <c r="P5" s="729">
        <f t="shared" si="0"/>
        <v>2011</v>
      </c>
      <c r="Q5" s="729">
        <f t="shared" si="0"/>
        <v>2012</v>
      </c>
      <c r="R5" s="729">
        <f t="shared" si="0"/>
        <v>2013</v>
      </c>
      <c r="S5" s="729">
        <f t="shared" si="0"/>
        <v>2014</v>
      </c>
      <c r="T5" s="729">
        <f t="shared" si="0"/>
        <v>2015</v>
      </c>
      <c r="U5" s="729">
        <f t="shared" si="0"/>
        <v>2016</v>
      </c>
      <c r="V5" s="729">
        <f t="shared" si="0"/>
        <v>2017</v>
      </c>
      <c r="W5" s="729">
        <f t="shared" si="0"/>
        <v>2018</v>
      </c>
      <c r="X5" s="729">
        <f t="shared" si="0"/>
        <v>2019</v>
      </c>
      <c r="Y5" s="729">
        <f t="shared" si="0"/>
        <v>2020</v>
      </c>
      <c r="Z5" s="729">
        <f t="shared" si="0"/>
        <v>2021</v>
      </c>
      <c r="AA5" s="729">
        <f t="shared" si="0"/>
        <v>2022</v>
      </c>
      <c r="AB5" s="729">
        <f t="shared" si="0"/>
        <v>2023</v>
      </c>
      <c r="AC5" s="730">
        <f t="shared" si="0"/>
        <v>2024</v>
      </c>
      <c r="AD5" s="259"/>
      <c r="AE5" s="259"/>
      <c r="AF5" s="259"/>
      <c r="AG5" s="259"/>
      <c r="AH5" s="259"/>
      <c r="AI5" s="259"/>
      <c r="AJ5" s="32"/>
      <c r="AK5" s="32"/>
      <c r="AL5" s="32"/>
      <c r="AM5" s="32"/>
      <c r="AN5" s="32"/>
      <c r="AO5" s="32"/>
      <c r="AP5" s="32"/>
      <c r="AQ5" s="32"/>
      <c r="AR5" s="32"/>
      <c r="AS5" s="32"/>
      <c r="AT5" s="32"/>
      <c r="AU5" s="32"/>
      <c r="AV5" s="32"/>
      <c r="AW5" s="32"/>
      <c r="AX5" s="32"/>
      <c r="AY5" s="32"/>
      <c r="AZ5" s="32"/>
      <c r="BA5" s="32"/>
    </row>
    <row r="6" spans="1:53" s="51" customFormat="1" ht="12.6" customHeight="1">
      <c r="A6" s="648" t="s">
        <v>2</v>
      </c>
      <c r="B6" s="731"/>
      <c r="C6" s="731"/>
      <c r="D6" s="732"/>
      <c r="E6" s="733">
        <f>'Book Income Statement'!D63</f>
        <v>12751.331731755294</v>
      </c>
      <c r="F6" s="733">
        <f>'Book Income Statement'!E63</f>
        <v>22021.917896461182</v>
      </c>
      <c r="G6" s="733">
        <f>'Book Income Statement'!F63</f>
        <v>21955.543624049413</v>
      </c>
      <c r="H6" s="733">
        <f>'Book Income Statement'!G63</f>
        <v>26861.090356092493</v>
      </c>
      <c r="I6" s="733">
        <f>'Book Income Statement'!H63</f>
        <v>30724.830336386123</v>
      </c>
      <c r="J6" s="733">
        <f>'Book Income Statement'!I63</f>
        <v>31021.284967944579</v>
      </c>
      <c r="K6" s="733">
        <f>'Book Income Statement'!J63</f>
        <v>31307.66481560337</v>
      </c>
      <c r="L6" s="733">
        <f>'Book Income Statement'!K63</f>
        <v>32253.885243085868</v>
      </c>
      <c r="M6" s="733">
        <f>'Book Income Statement'!L63</f>
        <v>32537.582023669314</v>
      </c>
      <c r="N6" s="733">
        <f>'Book Income Statement'!M63</f>
        <v>33520.699967393783</v>
      </c>
      <c r="O6" s="733">
        <f>'Book Income Statement'!N63</f>
        <v>33800.324754889298</v>
      </c>
      <c r="P6" s="733">
        <f>'Book Income Statement'!O63</f>
        <v>34821.32498055038</v>
      </c>
      <c r="Q6" s="733">
        <f>'Book Income Statement'!P63</f>
        <v>35095.329628743071</v>
      </c>
      <c r="R6" s="733">
        <f>'Book Income Statement'!Q63</f>
        <v>35354.225648854379</v>
      </c>
      <c r="S6" s="733">
        <f>'Book Income Statement'!R63</f>
        <v>35596.859919016068</v>
      </c>
      <c r="T6" s="733">
        <f>'Book Income Statement'!S63</f>
        <v>35822.023727813066</v>
      </c>
      <c r="U6" s="733">
        <f>'Book Income Statement'!T63</f>
        <v>36028.450476720333</v>
      </c>
      <c r="V6" s="733">
        <f>'Book Income Statement'!U63</f>
        <v>36214.813294716572</v>
      </c>
      <c r="W6" s="733">
        <f>'Book Income Statement'!V63</f>
        <v>36379.722561873103</v>
      </c>
      <c r="X6" s="733">
        <f>'Book Income Statement'!W63</f>
        <v>36521.72333860334</v>
      </c>
      <c r="Y6" s="733">
        <f>'Book Income Statement'!X63</f>
        <v>13385.784883973189</v>
      </c>
      <c r="Z6" s="733">
        <f>'Book Income Statement'!Y63</f>
        <v>0</v>
      </c>
      <c r="AA6" s="733">
        <f>'Book Income Statement'!Z63</f>
        <v>0</v>
      </c>
      <c r="AB6" s="733">
        <f>'Book Income Statement'!AA63</f>
        <v>0</v>
      </c>
      <c r="AC6" s="734">
        <f>'Book Income Statement'!AB63</f>
        <v>0</v>
      </c>
      <c r="AD6" s="735"/>
      <c r="AE6" s="735"/>
      <c r="AF6" s="247"/>
      <c r="AG6" s="735"/>
      <c r="AH6" s="735"/>
      <c r="AI6" s="735"/>
    </row>
    <row r="7" spans="1:53" s="21" customFormat="1" ht="12.6" customHeight="1">
      <c r="A7" s="449"/>
      <c r="B7" s="736"/>
      <c r="C7" s="425"/>
      <c r="D7" s="453"/>
      <c r="E7" s="453"/>
      <c r="F7" s="453"/>
      <c r="G7" s="453"/>
      <c r="H7" s="453"/>
      <c r="I7" s="453"/>
      <c r="J7" s="453"/>
      <c r="K7" s="453"/>
      <c r="L7" s="453"/>
      <c r="M7" s="453"/>
      <c r="N7" s="453"/>
      <c r="O7" s="453"/>
      <c r="P7" s="453"/>
      <c r="Q7" s="453"/>
      <c r="R7" s="453"/>
      <c r="S7" s="453"/>
      <c r="T7" s="453"/>
      <c r="U7" s="453"/>
      <c r="V7" s="453"/>
      <c r="W7" s="453"/>
      <c r="X7" s="453"/>
      <c r="Y7" s="453"/>
      <c r="Z7" s="453"/>
      <c r="AA7" s="453"/>
      <c r="AB7" s="453"/>
      <c r="AC7" s="491"/>
      <c r="AD7" s="257"/>
      <c r="AE7" s="247"/>
      <c r="AF7" s="257"/>
      <c r="AG7" s="257"/>
      <c r="AH7" s="257"/>
      <c r="AI7" s="257"/>
    </row>
    <row r="8" spans="1:53" s="48" customFormat="1">
      <c r="A8" s="737" t="s">
        <v>199</v>
      </c>
      <c r="B8" s="738"/>
      <c r="C8" s="738"/>
      <c r="D8" s="738"/>
      <c r="E8" s="739">
        <f>IF(E4&lt;='Project Assumptions'!$F$39,'Project Assumptions'!$F$41,0)</f>
        <v>1.3</v>
      </c>
      <c r="F8" s="739">
        <f>IF(F4&lt;='Project Assumptions'!$F$39,'Project Assumptions'!$F$41,0)</f>
        <v>1.3</v>
      </c>
      <c r="G8" s="739">
        <f>IF(G4&lt;='Project Assumptions'!$F$39,'Project Assumptions'!$F$41,0)</f>
        <v>1.3</v>
      </c>
      <c r="H8" s="739">
        <f>IF(H4&lt;='Project Assumptions'!$F$39,'Project Assumptions'!$F$41,0)</f>
        <v>1.3</v>
      </c>
      <c r="I8" s="739">
        <f>IF(I4&lt;='Project Assumptions'!$F$39,'Project Assumptions'!$F$41,0)</f>
        <v>0</v>
      </c>
      <c r="J8" s="739">
        <f>IF(J4&lt;='Project Assumptions'!$F$39,'Project Assumptions'!$F$41,0)</f>
        <v>0</v>
      </c>
      <c r="K8" s="739">
        <f>IF(K4&lt;='Project Assumptions'!$F$39,'Project Assumptions'!$F$41,0)</f>
        <v>0</v>
      </c>
      <c r="L8" s="739">
        <f>IF(L4&lt;='Project Assumptions'!$F$39,'Project Assumptions'!$F$41,0)</f>
        <v>0</v>
      </c>
      <c r="M8" s="739">
        <f>IF(M4&lt;='Project Assumptions'!$F$39,'Project Assumptions'!$F$41,0)</f>
        <v>0</v>
      </c>
      <c r="N8" s="739">
        <f>IF(N4&lt;='Project Assumptions'!$F$39,'Project Assumptions'!$F$41,0)</f>
        <v>0</v>
      </c>
      <c r="O8" s="739">
        <f>IF(O4&lt;='Project Assumptions'!$F$39,'Project Assumptions'!$F$41,0)</f>
        <v>0</v>
      </c>
      <c r="P8" s="739">
        <f>IF(P4&lt;='Project Assumptions'!$F$39,'Project Assumptions'!$F$41,0)</f>
        <v>0</v>
      </c>
      <c r="Q8" s="739">
        <f>IF(Q4&lt;='Project Assumptions'!$F$39,'Project Assumptions'!$F$41,0)</f>
        <v>0</v>
      </c>
      <c r="R8" s="739">
        <f>IF(R4&lt;='Project Assumptions'!$F$39,'Project Assumptions'!$F$41,0)</f>
        <v>0</v>
      </c>
      <c r="S8" s="739">
        <f>IF(S4&lt;='Project Assumptions'!$F$39,'Project Assumptions'!$F$41,0)</f>
        <v>0</v>
      </c>
      <c r="T8" s="739">
        <f>IF(T4&lt;='Project Assumptions'!$F$39,'Project Assumptions'!$F$41,0)</f>
        <v>0</v>
      </c>
      <c r="U8" s="739">
        <f>IF(U4&lt;='Project Assumptions'!$F$39,'Project Assumptions'!$F$41,0)</f>
        <v>0</v>
      </c>
      <c r="V8" s="739">
        <f>IF(V4&lt;='Project Assumptions'!$F$39,'Project Assumptions'!$F$41,0)</f>
        <v>0</v>
      </c>
      <c r="W8" s="739">
        <f>IF(W4&lt;='Project Assumptions'!$F$39,'Project Assumptions'!$F$41,0)</f>
        <v>0</v>
      </c>
      <c r="X8" s="739">
        <f>IF(X4&lt;='Project Assumptions'!$F$39,'Project Assumptions'!$F$41,0)</f>
        <v>0</v>
      </c>
      <c r="Y8" s="739">
        <f>IF(Y4&lt;='Project Assumptions'!$F$39,'Project Assumptions'!$F$41,0)</f>
        <v>0</v>
      </c>
      <c r="Z8" s="739">
        <f>IF(Z4&lt;='Project Assumptions'!$F$39,'Project Assumptions'!$F$41,0)</f>
        <v>0</v>
      </c>
      <c r="AA8" s="739">
        <f>IF(AA4&lt;='Project Assumptions'!$F$39,'Project Assumptions'!$F$41,0)</f>
        <v>0</v>
      </c>
      <c r="AB8" s="739">
        <f>IF(AB4&lt;='Project Assumptions'!$F$39,'Project Assumptions'!$F$41,0)</f>
        <v>0</v>
      </c>
      <c r="AC8" s="740">
        <f>IF(AC4&lt;='Project Assumptions'!$F$39,'Project Assumptions'!$F$41,0)</f>
        <v>0</v>
      </c>
      <c r="AD8" s="741"/>
      <c r="AE8" s="742"/>
      <c r="AF8" s="742"/>
      <c r="AG8" s="742"/>
      <c r="AH8" s="742"/>
      <c r="AI8" s="742"/>
    </row>
    <row r="9" spans="1:53" s="48" customFormat="1">
      <c r="A9" s="737" t="s">
        <v>200</v>
      </c>
      <c r="B9" s="738"/>
      <c r="C9" s="738"/>
      <c r="D9" s="738"/>
      <c r="E9" s="739">
        <f>IF(AND(E4&gt;'Project Assumptions'!$F$39,E4&lt;='Project Assumptions'!$G$39),'Project Assumptions'!$G$41,0)</f>
        <v>0</v>
      </c>
      <c r="F9" s="739">
        <f>IF(AND(F4&gt;'Project Assumptions'!$F$39,F4&lt;='Project Assumptions'!$G$39),'Project Assumptions'!$G$41,0)</f>
        <v>0</v>
      </c>
      <c r="G9" s="739">
        <f>IF(AND(G4&gt;'Project Assumptions'!$F$39,G4&lt;='Project Assumptions'!$G$39),'Project Assumptions'!$G$41,0)</f>
        <v>0</v>
      </c>
      <c r="H9" s="739">
        <f>IF(AND(H4&gt;'Project Assumptions'!$F$39,H4&lt;='Project Assumptions'!$G$39),'Project Assumptions'!$G$41,0)</f>
        <v>0</v>
      </c>
      <c r="I9" s="739">
        <f>IF(AND(I4&gt;'Project Assumptions'!$F$39,I4&lt;='Project Assumptions'!$G$39),'Project Assumptions'!$G$41,0)</f>
        <v>2.5</v>
      </c>
      <c r="J9" s="739">
        <f>IF(AND(J4&gt;'Project Assumptions'!$F$39,J4&lt;='Project Assumptions'!$G$39),'Project Assumptions'!$G$41,0)</f>
        <v>2.5</v>
      </c>
      <c r="K9" s="739">
        <f>IF(AND(K4&gt;'Project Assumptions'!$F$39,K4&lt;='Project Assumptions'!$G$39),'Project Assumptions'!$G$41,0)</f>
        <v>2.5</v>
      </c>
      <c r="L9" s="739">
        <f>IF(AND(L4&gt;'Project Assumptions'!$F$39,L4&lt;='Project Assumptions'!$G$39),'Project Assumptions'!$G$41,0)</f>
        <v>2.5</v>
      </c>
      <c r="M9" s="739">
        <f>IF(AND(M4&gt;'Project Assumptions'!$F$39,M4&lt;='Project Assumptions'!$G$39),'Project Assumptions'!$G$41,0)</f>
        <v>2.5</v>
      </c>
      <c r="N9" s="739">
        <f>IF(AND(N4&gt;'Project Assumptions'!$F$39,N4&lt;='Project Assumptions'!$G$39),'Project Assumptions'!$G$41,0)</f>
        <v>2.5</v>
      </c>
      <c r="O9" s="739">
        <f>IF(AND(O4&gt;'Project Assumptions'!$F$39,O4&lt;='Project Assumptions'!$G$39),'Project Assumptions'!$G$41,0)</f>
        <v>0</v>
      </c>
      <c r="P9" s="739">
        <f>IF(AND(P4&gt;'Project Assumptions'!$F$39,P4&lt;='Project Assumptions'!$G$39),'Project Assumptions'!$G$41,0)</f>
        <v>0</v>
      </c>
      <c r="Q9" s="739">
        <f>IF(AND(Q4&gt;'Project Assumptions'!$F$39,Q4&lt;='Project Assumptions'!$G$39),'Project Assumptions'!$G$41,0)</f>
        <v>0</v>
      </c>
      <c r="R9" s="739">
        <f>IF(AND(R4&gt;'Project Assumptions'!$F$39,R4&lt;='Project Assumptions'!$G$39),'Project Assumptions'!$G$41,0)</f>
        <v>0</v>
      </c>
      <c r="S9" s="739">
        <f>IF(AND(S4&gt;'Project Assumptions'!$F$39,S4&lt;='Project Assumptions'!$G$39),'Project Assumptions'!$G$41,0)</f>
        <v>0</v>
      </c>
      <c r="T9" s="739">
        <f>IF(AND(T4&gt;'Project Assumptions'!$F$39,T4&lt;='Project Assumptions'!$G$39),'Project Assumptions'!$G$41,0)</f>
        <v>0</v>
      </c>
      <c r="U9" s="739">
        <f>IF(AND(U4&gt;'Project Assumptions'!$F$39,U4&lt;='Project Assumptions'!$G$39),'Project Assumptions'!$G$41,0)</f>
        <v>0</v>
      </c>
      <c r="V9" s="739">
        <f>IF(AND(V4&gt;'Project Assumptions'!$F$39,V4&lt;='Project Assumptions'!$G$39),'Project Assumptions'!$G$41,0)</f>
        <v>0</v>
      </c>
      <c r="W9" s="739">
        <f>IF(AND(W4&gt;'Project Assumptions'!$F$39,W4&lt;='Project Assumptions'!$G$39),'Project Assumptions'!$G$41,0)</f>
        <v>0</v>
      </c>
      <c r="X9" s="739">
        <f>IF(AND(X4&gt;'Project Assumptions'!$F$39,X4&lt;='Project Assumptions'!$G$39),'Project Assumptions'!$G$41,0)</f>
        <v>0</v>
      </c>
      <c r="Y9" s="739">
        <f>IF(AND(Y4&gt;'Project Assumptions'!$F$39,Y4&lt;='Project Assumptions'!$G$39),'Project Assumptions'!$G$41,0)</f>
        <v>0</v>
      </c>
      <c r="Z9" s="739">
        <f>IF(AND(Z4&gt;'Project Assumptions'!$F$39,Z4&lt;='Project Assumptions'!$G$39),'Project Assumptions'!$G$41,0)</f>
        <v>0</v>
      </c>
      <c r="AA9" s="739">
        <f>IF(AND(AA4&gt;'Project Assumptions'!$F$39,AA4&lt;='Project Assumptions'!$G$39),'Project Assumptions'!$G$41,0)</f>
        <v>0</v>
      </c>
      <c r="AB9" s="739">
        <f>IF(AND(AB4&gt;'Project Assumptions'!$F$39,AB4&lt;='Project Assumptions'!$G$39),'Project Assumptions'!$G$41,0)</f>
        <v>0</v>
      </c>
      <c r="AC9" s="740">
        <f>IF(AND(AC4&gt;'Project Assumptions'!$F$39,AC4&lt;='Project Assumptions'!$G$39),'Project Assumptions'!$G$41,0)</f>
        <v>0</v>
      </c>
      <c r="AD9" s="741"/>
      <c r="AE9" s="742"/>
      <c r="AF9" s="742"/>
      <c r="AG9" s="742"/>
      <c r="AH9" s="742"/>
      <c r="AI9" s="742"/>
    </row>
    <row r="10" spans="1:53" s="48" customFormat="1">
      <c r="A10" s="737" t="s">
        <v>201</v>
      </c>
      <c r="B10" s="738"/>
      <c r="C10" s="738"/>
      <c r="D10" s="738"/>
      <c r="E10" s="739">
        <f>IF(AND(E4&gt;'Project Assumptions'!$G$39,E4&lt;='Project Assumptions'!$H$39),'Project Assumptions'!$H$41,0)</f>
        <v>0</v>
      </c>
      <c r="F10" s="739">
        <f>IF(AND(F4&gt;'Project Assumptions'!$G$39,F4&lt;='Project Assumptions'!$H$39),'Project Assumptions'!$H$41,0)</f>
        <v>0</v>
      </c>
      <c r="G10" s="739">
        <f>IF(AND(G4&gt;'Project Assumptions'!$G$39,G4&lt;='Project Assumptions'!$H$39),'Project Assumptions'!$H$41,0)</f>
        <v>0</v>
      </c>
      <c r="H10" s="739">
        <f>IF(AND(H4&gt;'Project Assumptions'!$G$39,H4&lt;='Project Assumptions'!$H$39),'Project Assumptions'!$H$41,0)</f>
        <v>0</v>
      </c>
      <c r="I10" s="739">
        <f>IF(AND(I4&gt;'Project Assumptions'!$G$39,I4&lt;='Project Assumptions'!$H$39),'Project Assumptions'!$H$41,0)</f>
        <v>0</v>
      </c>
      <c r="J10" s="739">
        <f>IF(AND(J4&gt;'Project Assumptions'!$G$39,J4&lt;='Project Assumptions'!$H$39),'Project Assumptions'!$H$41,0)</f>
        <v>0</v>
      </c>
      <c r="K10" s="739">
        <f>IF(AND(K4&gt;'Project Assumptions'!$G$39,K4&lt;='Project Assumptions'!$H$39),'Project Assumptions'!$H$41,0)</f>
        <v>0</v>
      </c>
      <c r="L10" s="739">
        <f>IF(AND(L4&gt;'Project Assumptions'!$G$39,L4&lt;='Project Assumptions'!$H$39),'Project Assumptions'!$H$41,0)</f>
        <v>0</v>
      </c>
      <c r="M10" s="739">
        <f>IF(AND(M4&gt;'Project Assumptions'!$G$39,M4&lt;='Project Assumptions'!$H$39),'Project Assumptions'!$H$41,0)</f>
        <v>0</v>
      </c>
      <c r="N10" s="739">
        <f>IF(AND(N4&gt;'Project Assumptions'!$G$39,N4&lt;='Project Assumptions'!$H$39),'Project Assumptions'!$H$41,0)</f>
        <v>0</v>
      </c>
      <c r="O10" s="739">
        <f>IF(AND(O4&gt;'Project Assumptions'!$G$39,O4&lt;='Project Assumptions'!$H$39),'Project Assumptions'!$H$41,0)</f>
        <v>2.5</v>
      </c>
      <c r="P10" s="739">
        <f>IF(AND(P4&gt;'Project Assumptions'!$G$39,P4&lt;='Project Assumptions'!$H$39),'Project Assumptions'!$H$41,0)</f>
        <v>2.5</v>
      </c>
      <c r="Q10" s="739">
        <f>IF(AND(Q4&gt;'Project Assumptions'!$G$39,Q4&lt;='Project Assumptions'!$H$39),'Project Assumptions'!$H$41,0)</f>
        <v>2.5</v>
      </c>
      <c r="R10" s="739">
        <f>IF(AND(R4&gt;'Project Assumptions'!$G$39,R4&lt;='Project Assumptions'!$H$39),'Project Assumptions'!$H$41,0)</f>
        <v>2.5</v>
      </c>
      <c r="S10" s="739">
        <f>IF(AND(S4&gt;'Project Assumptions'!$G$39,S4&lt;='Project Assumptions'!$H$39),'Project Assumptions'!$H$41,0)</f>
        <v>2.5</v>
      </c>
      <c r="T10" s="739">
        <f>IF(AND(T4&gt;'Project Assumptions'!$G$39,T4&lt;='Project Assumptions'!$H$39),'Project Assumptions'!$H$41,0)</f>
        <v>2.5</v>
      </c>
      <c r="U10" s="739">
        <f>IF(AND(U4&gt;'Project Assumptions'!$G$39,U4&lt;='Project Assumptions'!$H$39),'Project Assumptions'!$H$41,0)</f>
        <v>2.5</v>
      </c>
      <c r="V10" s="739">
        <f>IF(AND(V4&gt;'Project Assumptions'!$G$39,V4&lt;='Project Assumptions'!$H$39),'Project Assumptions'!$H$41,0)</f>
        <v>2.5</v>
      </c>
      <c r="W10" s="739">
        <f>IF(AND(W4&gt;'Project Assumptions'!$G$39,W4&lt;='Project Assumptions'!$H$39),'Project Assumptions'!$H$41,0)</f>
        <v>2.5</v>
      </c>
      <c r="X10" s="739">
        <f>IF(AND(X4&gt;'Project Assumptions'!$G$39,X4&lt;='Project Assumptions'!$H$39),'Project Assumptions'!$H$41,0)</f>
        <v>2.5</v>
      </c>
      <c r="Y10" s="739">
        <f>IF(AND(Y4&gt;'Project Assumptions'!$G$39,Y4&lt;='Project Assumptions'!$H$39),'Project Assumptions'!$H$41,0)</f>
        <v>0</v>
      </c>
      <c r="Z10" s="739">
        <f>IF(AND(Z4&gt;'Project Assumptions'!$G$39,Z4&lt;='Project Assumptions'!$H$39),'Project Assumptions'!$H$41,0)</f>
        <v>0</v>
      </c>
      <c r="AA10" s="739">
        <f>IF(AND(AA4&gt;'Project Assumptions'!$G$39,AA4&lt;='Project Assumptions'!$H$39),'Project Assumptions'!$H$41,0)</f>
        <v>0</v>
      </c>
      <c r="AB10" s="739">
        <f>IF(AND(AB4&gt;'Project Assumptions'!$G$39,AB4&lt;='Project Assumptions'!$H$39),'Project Assumptions'!$H$41,0)</f>
        <v>0</v>
      </c>
      <c r="AC10" s="740">
        <f>IF(AND(AC4&gt;'Project Assumptions'!$G$39,AC4&lt;='Project Assumptions'!$H$39),'Project Assumptions'!$H$41,0)</f>
        <v>0</v>
      </c>
      <c r="AD10" s="741"/>
      <c r="AE10" s="742"/>
      <c r="AF10" s="742"/>
      <c r="AG10" s="742"/>
      <c r="AH10" s="742"/>
      <c r="AI10" s="742"/>
    </row>
    <row r="11" spans="1:53" s="48" customFormat="1">
      <c r="A11" s="737"/>
      <c r="B11" s="738"/>
      <c r="C11" s="738"/>
      <c r="D11" s="738"/>
      <c r="E11" s="739"/>
      <c r="F11" s="739"/>
      <c r="G11" s="739"/>
      <c r="H11" s="739"/>
      <c r="I11" s="739"/>
      <c r="J11" s="739"/>
      <c r="K11" s="739"/>
      <c r="L11" s="739"/>
      <c r="M11" s="739"/>
      <c r="N11" s="739"/>
      <c r="O11" s="739"/>
      <c r="P11" s="739"/>
      <c r="Q11" s="739"/>
      <c r="R11" s="739"/>
      <c r="S11" s="739"/>
      <c r="T11" s="739"/>
      <c r="U11" s="739"/>
      <c r="V11" s="739"/>
      <c r="W11" s="739"/>
      <c r="X11" s="739"/>
      <c r="Y11" s="739"/>
      <c r="Z11" s="739"/>
      <c r="AA11" s="739"/>
      <c r="AB11" s="739"/>
      <c r="AC11" s="740"/>
      <c r="AD11" s="741"/>
      <c r="AE11" s="742"/>
      <c r="AF11" s="742"/>
      <c r="AG11" s="742"/>
      <c r="AH11" s="742"/>
      <c r="AI11" s="742"/>
    </row>
    <row r="12" spans="1:53" s="48" customFormat="1">
      <c r="A12" s="737" t="s">
        <v>202</v>
      </c>
      <c r="B12" s="738"/>
      <c r="C12" s="738"/>
      <c r="D12" s="738"/>
      <c r="E12" s="743">
        <f>IF(E4&lt;='Project Assumptions'!$F$39,'Project Assumptions'!$F$40,0)</f>
        <v>6.724999999999999E-2</v>
      </c>
      <c r="F12" s="743">
        <f>IF(F4&lt;='Project Assumptions'!$F$39,'Project Assumptions'!$F$40,0)</f>
        <v>6.724999999999999E-2</v>
      </c>
      <c r="G12" s="743">
        <f>IF(G4&lt;='Project Assumptions'!$F$39,'Project Assumptions'!$F$40,0)</f>
        <v>6.724999999999999E-2</v>
      </c>
      <c r="H12" s="743">
        <f>IF(H4&lt;='Project Assumptions'!$F$39,'Project Assumptions'!$F$40,0)</f>
        <v>6.724999999999999E-2</v>
      </c>
      <c r="I12" s="743">
        <f>IF(I4&lt;='Project Assumptions'!$F$39,'Project Assumptions'!$F$40,0)</f>
        <v>0</v>
      </c>
      <c r="J12" s="743">
        <f>IF(J4&lt;='Project Assumptions'!$F$39,'Project Assumptions'!$F$40,0)</f>
        <v>0</v>
      </c>
      <c r="K12" s="743">
        <f>IF(K4&lt;='Project Assumptions'!$F$39,'Project Assumptions'!$F$40,0)</f>
        <v>0</v>
      </c>
      <c r="L12" s="743">
        <f>IF(L4&lt;='Project Assumptions'!$F$39,'Project Assumptions'!$F$40,0)</f>
        <v>0</v>
      </c>
      <c r="M12" s="743">
        <f>IF(M4&lt;='Project Assumptions'!$F$39,'Project Assumptions'!$F$40,0)</f>
        <v>0</v>
      </c>
      <c r="N12" s="743">
        <f>IF(N4&lt;='Project Assumptions'!$F$39,'Project Assumptions'!$F$40,0)</f>
        <v>0</v>
      </c>
      <c r="O12" s="743">
        <f>IF(O4&lt;='Project Assumptions'!$F$39,'Project Assumptions'!$F$40,0)</f>
        <v>0</v>
      </c>
      <c r="P12" s="743">
        <f>IF(P4&lt;='Project Assumptions'!$F$39,'Project Assumptions'!$F$40,0)</f>
        <v>0</v>
      </c>
      <c r="Q12" s="743">
        <f>IF(Q4&lt;='Project Assumptions'!$F$39,'Project Assumptions'!$F$40,0)</f>
        <v>0</v>
      </c>
      <c r="R12" s="743">
        <f>IF(R4&lt;='Project Assumptions'!$F$39,'Project Assumptions'!$F$40,0)</f>
        <v>0</v>
      </c>
      <c r="S12" s="743">
        <f>IF(S4&lt;='Project Assumptions'!$F$39,'Project Assumptions'!$F$40,0)</f>
        <v>0</v>
      </c>
      <c r="T12" s="743">
        <f>IF(T4&lt;='Project Assumptions'!$F$39,'Project Assumptions'!$F$40,0)</f>
        <v>0</v>
      </c>
      <c r="U12" s="743">
        <f>IF(U4&lt;='Project Assumptions'!$F$39,'Project Assumptions'!$F$40,0)</f>
        <v>0</v>
      </c>
      <c r="V12" s="743">
        <f>IF(V4&lt;='Project Assumptions'!$F$39,'Project Assumptions'!$F$40,0)</f>
        <v>0</v>
      </c>
      <c r="W12" s="743">
        <f>IF(W4&lt;='Project Assumptions'!$F$39,'Project Assumptions'!$F$40,0)</f>
        <v>0</v>
      </c>
      <c r="X12" s="743">
        <f>IF(X4&lt;='Project Assumptions'!$F$39,'Project Assumptions'!$F$40,0)</f>
        <v>0</v>
      </c>
      <c r="Y12" s="743">
        <f>IF(Y4&lt;='Project Assumptions'!$F$39,'Project Assumptions'!$F$40,0)</f>
        <v>0</v>
      </c>
      <c r="Z12" s="743">
        <f>IF(Z4&lt;='Project Assumptions'!$F$39,'Project Assumptions'!$F$40,0)</f>
        <v>0</v>
      </c>
      <c r="AA12" s="743">
        <f>IF(AA4&lt;='Project Assumptions'!$F$39,'Project Assumptions'!$F$40,0)</f>
        <v>0</v>
      </c>
      <c r="AB12" s="743">
        <f>IF(AB4&lt;='Project Assumptions'!$F$39,'Project Assumptions'!$F$40,0)</f>
        <v>0</v>
      </c>
      <c r="AC12" s="744">
        <f>IF(AC4&lt;='Project Assumptions'!$F$39,'Project Assumptions'!$F$40,0)</f>
        <v>0</v>
      </c>
      <c r="AD12" s="742"/>
      <c r="AE12" s="742"/>
      <c r="AF12" s="742"/>
      <c r="AG12" s="742"/>
      <c r="AH12" s="742"/>
      <c r="AI12" s="742"/>
    </row>
    <row r="13" spans="1:53" s="48" customFormat="1">
      <c r="A13" s="737" t="s">
        <v>203</v>
      </c>
      <c r="B13" s="738"/>
      <c r="C13" s="738"/>
      <c r="D13" s="738"/>
      <c r="E13" s="743">
        <f>IF('Project Assumptions'!$G$39=0,0,IF(E4&lt;='Project Assumptions'!$G$39,'Project Assumptions'!$G$40,0))</f>
        <v>7.5700000000000003E-2</v>
      </c>
      <c r="F13" s="743">
        <f>IF('Project Assumptions'!$G$39=0,0,IF(F4&lt;='Project Assumptions'!$G$39,'Project Assumptions'!$G$40,0))</f>
        <v>7.5700000000000003E-2</v>
      </c>
      <c r="G13" s="743">
        <f>IF('Project Assumptions'!$G$39=0,0,IF(G4&lt;='Project Assumptions'!$G$39,'Project Assumptions'!$G$40,0))</f>
        <v>7.5700000000000003E-2</v>
      </c>
      <c r="H13" s="743">
        <f>IF('Project Assumptions'!$G$39=0,0,IF(H4&lt;='Project Assumptions'!$G$39,'Project Assumptions'!$G$40,0))</f>
        <v>7.5700000000000003E-2</v>
      </c>
      <c r="I13" s="743">
        <f>IF('Project Assumptions'!$G$39=0,0,IF(I4&lt;='Project Assumptions'!$G$39,'Project Assumptions'!$G$40,0))</f>
        <v>7.5700000000000003E-2</v>
      </c>
      <c r="J13" s="743">
        <f>IF('Project Assumptions'!$G$39=0,0,IF(J4&lt;='Project Assumptions'!$G$39,'Project Assumptions'!$G$40,0))</f>
        <v>7.5700000000000003E-2</v>
      </c>
      <c r="K13" s="743">
        <f>IF('Project Assumptions'!$G$39=0,0,IF(K4&lt;='Project Assumptions'!$G$39,'Project Assumptions'!$G$40,0))</f>
        <v>7.5700000000000003E-2</v>
      </c>
      <c r="L13" s="743">
        <f>IF('Project Assumptions'!$G$39=0,0,IF(L4&lt;='Project Assumptions'!$G$39,'Project Assumptions'!$G$40,0))</f>
        <v>7.5700000000000003E-2</v>
      </c>
      <c r="M13" s="743">
        <f>IF('Project Assumptions'!$G$39=0,0,IF(M4&lt;='Project Assumptions'!$G$39,'Project Assumptions'!$G$40,0))</f>
        <v>7.5700000000000003E-2</v>
      </c>
      <c r="N13" s="743">
        <f>IF('Project Assumptions'!$G$39=0,0,IF(N4&lt;='Project Assumptions'!$G$39,'Project Assumptions'!$G$40,0))</f>
        <v>7.5700000000000003E-2</v>
      </c>
      <c r="O13" s="743">
        <f>IF('Project Assumptions'!$G$39=0,0,IF(O4&lt;='Project Assumptions'!$G$39,'Project Assumptions'!$G$40,0))</f>
        <v>0</v>
      </c>
      <c r="P13" s="743">
        <f>IF('Project Assumptions'!$G$39=0,0,IF(P4&lt;='Project Assumptions'!$G$39,'Project Assumptions'!$G$40,0))</f>
        <v>0</v>
      </c>
      <c r="Q13" s="743">
        <f>IF('Project Assumptions'!$G$39=0,0,IF(Q4&lt;='Project Assumptions'!$G$39,'Project Assumptions'!$G$40,0))</f>
        <v>0</v>
      </c>
      <c r="R13" s="743">
        <f>IF('Project Assumptions'!$G$39=0,0,IF(R4&lt;='Project Assumptions'!$G$39,'Project Assumptions'!$G$40,0))</f>
        <v>0</v>
      </c>
      <c r="S13" s="743">
        <f>IF('Project Assumptions'!$G$39=0,0,IF(S4&lt;='Project Assumptions'!$G$39,'Project Assumptions'!$G$40,0))</f>
        <v>0</v>
      </c>
      <c r="T13" s="743">
        <f>IF('Project Assumptions'!$G$39=0,0,IF(T4&lt;='Project Assumptions'!$G$39,'Project Assumptions'!$G$40,0))</f>
        <v>0</v>
      </c>
      <c r="U13" s="743">
        <f>IF('Project Assumptions'!$G$39=0,0,IF(U4&lt;='Project Assumptions'!$G$39,'Project Assumptions'!$G$40,0))</f>
        <v>0</v>
      </c>
      <c r="V13" s="743">
        <f>IF('Project Assumptions'!$G$39=0,0,IF(V4&lt;='Project Assumptions'!$G$39,'Project Assumptions'!$G$40,0))</f>
        <v>0</v>
      </c>
      <c r="W13" s="743">
        <f>IF('Project Assumptions'!$G$39=0,0,IF(W4&lt;='Project Assumptions'!$G$39,'Project Assumptions'!$G$40,0))</f>
        <v>0</v>
      </c>
      <c r="X13" s="743">
        <f>IF('Project Assumptions'!$G$39=0,0,IF(X4&lt;='Project Assumptions'!$G$39,'Project Assumptions'!$G$40,0))</f>
        <v>0</v>
      </c>
      <c r="Y13" s="743">
        <f>IF('Project Assumptions'!$G$39=0,0,IF(Y4&lt;='Project Assumptions'!$G$39,'Project Assumptions'!$G$40,0))</f>
        <v>0</v>
      </c>
      <c r="Z13" s="743">
        <f>IF('Project Assumptions'!$G$39=0,0,IF(Z4&lt;='Project Assumptions'!$G$39,'Project Assumptions'!$G$40,0))</f>
        <v>0</v>
      </c>
      <c r="AA13" s="743">
        <f>IF('Project Assumptions'!$G$39=0,0,IF(AA4&lt;='Project Assumptions'!$G$39,'Project Assumptions'!$G$40,0))</f>
        <v>0</v>
      </c>
      <c r="AB13" s="743">
        <f>IF('Project Assumptions'!$G$39=0,0,IF(AB4&lt;='Project Assumptions'!$G$39,'Project Assumptions'!$G$40,0))</f>
        <v>0</v>
      </c>
      <c r="AC13" s="744">
        <f>IF('Project Assumptions'!$G$39=0,0,IF(AC4&lt;='Project Assumptions'!$G$39,'Project Assumptions'!$G$40,0))</f>
        <v>0</v>
      </c>
      <c r="AD13" s="742"/>
      <c r="AE13" s="742"/>
      <c r="AF13" s="742"/>
      <c r="AG13" s="742"/>
      <c r="AH13" s="742"/>
      <c r="AI13" s="742"/>
    </row>
    <row r="14" spans="1:53" s="48" customFormat="1">
      <c r="A14" s="745" t="s">
        <v>204</v>
      </c>
      <c r="B14" s="746"/>
      <c r="C14" s="746"/>
      <c r="D14" s="746"/>
      <c r="E14" s="747">
        <f>IF('Project Assumptions'!$H$39=0,0,IF(E4&lt;='Project Assumptions'!$H$39,'Project Assumptions'!$H$40,0))</f>
        <v>8.1799999999999998E-2</v>
      </c>
      <c r="F14" s="747">
        <f>IF('Project Assumptions'!$H$39=0,0,IF(F4&lt;='Project Assumptions'!$H$39,'Project Assumptions'!$H$40,0))</f>
        <v>8.1799999999999998E-2</v>
      </c>
      <c r="G14" s="747">
        <f>IF('Project Assumptions'!$H$39=0,0,IF(G4&lt;='Project Assumptions'!$H$39,'Project Assumptions'!$H$40,0))</f>
        <v>8.1799999999999998E-2</v>
      </c>
      <c r="H14" s="747">
        <f>IF('Project Assumptions'!$H$39=0,0,IF(H4&lt;='Project Assumptions'!$H$39,'Project Assumptions'!$H$40,0))</f>
        <v>8.1799999999999998E-2</v>
      </c>
      <c r="I14" s="747">
        <f>IF('Project Assumptions'!$H$39=0,0,IF(I4&lt;='Project Assumptions'!$H$39,'Project Assumptions'!$H$40,0))</f>
        <v>8.1799999999999998E-2</v>
      </c>
      <c r="J14" s="747">
        <f>IF('Project Assumptions'!$H$39=0,0,IF(J4&lt;='Project Assumptions'!$H$39,'Project Assumptions'!$H$40,0))</f>
        <v>8.1799999999999998E-2</v>
      </c>
      <c r="K14" s="747">
        <f>IF('Project Assumptions'!$H$39=0,0,IF(K4&lt;='Project Assumptions'!$H$39,'Project Assumptions'!$H$40,0))</f>
        <v>8.1799999999999998E-2</v>
      </c>
      <c r="L14" s="747">
        <f>IF('Project Assumptions'!$H$39=0,0,IF(L4&lt;='Project Assumptions'!$H$39,'Project Assumptions'!$H$40,0))</f>
        <v>8.1799999999999998E-2</v>
      </c>
      <c r="M14" s="747">
        <f>IF('Project Assumptions'!$H$39=0,0,IF(M4&lt;='Project Assumptions'!$H$39,'Project Assumptions'!$H$40,0))</f>
        <v>8.1799999999999998E-2</v>
      </c>
      <c r="N14" s="747">
        <f>IF('Project Assumptions'!$H$39=0,0,IF(N4&lt;='Project Assumptions'!$H$39,'Project Assumptions'!$H$40,0))</f>
        <v>8.1799999999999998E-2</v>
      </c>
      <c r="O14" s="747">
        <f>IF('Project Assumptions'!$H$39=0,0,IF(O4&lt;='Project Assumptions'!$H$39,'Project Assumptions'!$H$40,0))</f>
        <v>8.1799999999999998E-2</v>
      </c>
      <c r="P14" s="747">
        <f>IF('Project Assumptions'!$H$39=0,0,IF(P4&lt;='Project Assumptions'!$H$39,'Project Assumptions'!$H$40,0))</f>
        <v>8.1799999999999998E-2</v>
      </c>
      <c r="Q14" s="747">
        <f>IF('Project Assumptions'!$H$39=0,0,IF(Q4&lt;='Project Assumptions'!$H$39,'Project Assumptions'!$H$40,0))</f>
        <v>8.1799999999999998E-2</v>
      </c>
      <c r="R14" s="747">
        <f>IF('Project Assumptions'!$H$39=0,0,IF(R4&lt;='Project Assumptions'!$H$39,'Project Assumptions'!$H$40,0))</f>
        <v>8.1799999999999998E-2</v>
      </c>
      <c r="S14" s="747">
        <f>IF('Project Assumptions'!$H$39=0,0,IF(S4&lt;='Project Assumptions'!$H$39,'Project Assumptions'!$H$40,0))</f>
        <v>8.1799999999999998E-2</v>
      </c>
      <c r="T14" s="747">
        <f>IF('Project Assumptions'!$H$39=0,0,IF(T4&lt;='Project Assumptions'!$H$39,'Project Assumptions'!$H$40,0))</f>
        <v>8.1799999999999998E-2</v>
      </c>
      <c r="U14" s="747">
        <f>IF('Project Assumptions'!$H$39=0,0,IF(U4&lt;='Project Assumptions'!$H$39,'Project Assumptions'!$H$40,0))</f>
        <v>8.1799999999999998E-2</v>
      </c>
      <c r="V14" s="747">
        <f>IF('Project Assumptions'!$H$39=0,0,IF(V4&lt;='Project Assumptions'!$H$39,'Project Assumptions'!$H$40,0))</f>
        <v>8.1799999999999998E-2</v>
      </c>
      <c r="W14" s="747">
        <f>IF('Project Assumptions'!$H$39=0,0,IF(W4&lt;='Project Assumptions'!$H$39,'Project Assumptions'!$H$40,0))</f>
        <v>8.1799999999999998E-2</v>
      </c>
      <c r="X14" s="747">
        <f>IF('Project Assumptions'!$H$39=0,0,IF(X4&lt;='Project Assumptions'!$H$39,'Project Assumptions'!$H$40,0))</f>
        <v>8.1799999999999998E-2</v>
      </c>
      <c r="Y14" s="747">
        <f>IF('Project Assumptions'!$H$39=0,0,IF(Y4&lt;='Project Assumptions'!$H$39,'Project Assumptions'!$H$40,0))</f>
        <v>0</v>
      </c>
      <c r="Z14" s="747">
        <f>IF('Project Assumptions'!$H$39=0,0,IF(Z4&lt;='Project Assumptions'!$H$39,'Project Assumptions'!$H$40,0))</f>
        <v>0</v>
      </c>
      <c r="AA14" s="747">
        <f>IF('Project Assumptions'!$H$39=0,0,IF(AA4&lt;='Project Assumptions'!$H$39,'Project Assumptions'!$H$40,0))</f>
        <v>0</v>
      </c>
      <c r="AB14" s="747">
        <f>IF('Project Assumptions'!$H$39=0,0,IF(AB4&lt;='Project Assumptions'!$H$39,'Project Assumptions'!$H$40,0))</f>
        <v>0</v>
      </c>
      <c r="AC14" s="748">
        <f>IF('Project Assumptions'!$H$39=0,0,IF(AC4&lt;='Project Assumptions'!$H$39,'Project Assumptions'!$H$40,0))</f>
        <v>0</v>
      </c>
      <c r="AD14" s="742"/>
      <c r="AE14" s="742"/>
      <c r="AF14" s="742"/>
      <c r="AG14" s="742"/>
      <c r="AH14" s="742"/>
      <c r="AI14" s="742"/>
    </row>
    <row r="15" spans="1:53" s="48" customFormat="1">
      <c r="A15" s="742"/>
      <c r="B15" s="742"/>
      <c r="C15" s="742"/>
      <c r="D15" s="749"/>
      <c r="E15" s="749"/>
      <c r="F15" s="749"/>
      <c r="G15" s="749"/>
      <c r="H15" s="749"/>
      <c r="I15" s="749"/>
      <c r="J15" s="749"/>
      <c r="K15" s="749"/>
      <c r="L15" s="749"/>
      <c r="M15" s="749"/>
      <c r="N15" s="749"/>
      <c r="O15" s="749"/>
      <c r="P15" s="749"/>
      <c r="Q15" s="749"/>
      <c r="R15" s="749"/>
      <c r="S15" s="749"/>
      <c r="T15" s="749"/>
      <c r="U15" s="749"/>
      <c r="V15" s="749"/>
      <c r="W15" s="749"/>
      <c r="X15" s="749"/>
      <c r="Y15" s="749"/>
      <c r="Z15" s="749"/>
      <c r="AA15" s="749"/>
      <c r="AB15" s="749"/>
      <c r="AC15" s="742"/>
      <c r="AD15" s="742"/>
      <c r="AE15" s="742"/>
      <c r="AF15" s="742"/>
      <c r="AG15" s="742"/>
      <c r="AH15" s="742"/>
      <c r="AI15" s="742"/>
    </row>
    <row r="16" spans="1:53" s="48" customFormat="1">
      <c r="A16" s="750" t="s">
        <v>236</v>
      </c>
      <c r="B16" s="751"/>
      <c r="C16" s="751"/>
      <c r="D16" s="751"/>
      <c r="E16" s="752">
        <f>IF(E4&gt;MAX('Project Assumptions'!$F$39,'Project Assumptions'!$G$39,'Project Assumptions'!$H$39),0,IF(E4&lt;='Project Assumptions'!$F$39,E6/E8,IF(E4&lt;='Project Assumptions'!$G$39,E6/E9,E6/E10)))</f>
        <v>9808.7167167348416</v>
      </c>
      <c r="F16" s="752">
        <f>IF(F4&gt;MAX('Project Assumptions'!$F$39,'Project Assumptions'!$G$39,'Project Assumptions'!$H$39),0,IF(F4&lt;='Project Assumptions'!$F$39,F6/F8,IF(F4&lt;='Project Assumptions'!$G$39,F6/F9,F6/F10)))</f>
        <v>16939.936843431678</v>
      </c>
      <c r="G16" s="752">
        <f>IF(G4&gt;MAX('Project Assumptions'!$F$39,'Project Assumptions'!$G$39,'Project Assumptions'!$H$39),0,IF(G4&lt;='Project Assumptions'!$F$39,G6/G8,IF(G4&lt;='Project Assumptions'!$G$39,G6/G9,G6/G10)))</f>
        <v>16888.879710807239</v>
      </c>
      <c r="H16" s="752">
        <f>IF(H4&gt;MAX('Project Assumptions'!$F$39,'Project Assumptions'!$G$39,'Project Assumptions'!$H$39),0,IF(H4&lt;='Project Assumptions'!$F$39,H6/H8,IF(H4&lt;='Project Assumptions'!$G$39,H6/H9,H6/H10)))</f>
        <v>20662.377196994225</v>
      </c>
      <c r="I16" s="752">
        <f>IF(I4&gt;MAX('Project Assumptions'!$F$39,'Project Assumptions'!$G$39,'Project Assumptions'!$H$39),0,IF(I4&lt;='Project Assumptions'!$F$39,I6/I8,IF(I4&lt;='Project Assumptions'!$G$39,I6/I9,I6/I10)))</f>
        <v>12289.932134554449</v>
      </c>
      <c r="J16" s="752">
        <f>IF(J4&gt;MAX('Project Assumptions'!$F$39,'Project Assumptions'!$G$39,'Project Assumptions'!$H$39),0,IF(J4&lt;='Project Assumptions'!$F$39,J6/J8,IF(J4&lt;='Project Assumptions'!$G$39,J6/J9,J6/J10)))</f>
        <v>12408.513987177832</v>
      </c>
      <c r="K16" s="752">
        <f>IF(K4&gt;MAX('Project Assumptions'!$F$39,'Project Assumptions'!$G$39,'Project Assumptions'!$H$39),0,IF(K4&lt;='Project Assumptions'!$F$39,K6/K8,IF(K4&lt;='Project Assumptions'!$G$39,K6/K9,K6/K10)))</f>
        <v>12523.065926241348</v>
      </c>
      <c r="L16" s="752">
        <f>IF(L4&gt;MAX('Project Assumptions'!$F$39,'Project Assumptions'!$G$39,'Project Assumptions'!$H$39),0,IF(L4&lt;='Project Assumptions'!$F$39,L6/L8,IF(L4&lt;='Project Assumptions'!$G$39,L6/L9,L6/L10)))</f>
        <v>12901.554097234348</v>
      </c>
      <c r="M16" s="752">
        <f>IF(M4&gt;MAX('Project Assumptions'!$F$39,'Project Assumptions'!$G$39,'Project Assumptions'!$H$39),0,IF(M4&lt;='Project Assumptions'!$F$39,M6/M8,IF(M4&lt;='Project Assumptions'!$G$39,M6/M9,M6/M10)))</f>
        <v>13015.032809467726</v>
      </c>
      <c r="N16" s="752">
        <f>IF(N4&gt;MAX('Project Assumptions'!$F$39,'Project Assumptions'!$G$39,'Project Assumptions'!$H$39),0,IF(N4&lt;='Project Assumptions'!$F$39,N6/N8,IF(N4&lt;='Project Assumptions'!$G$39,N6/N9,N6/N10)))</f>
        <v>13408.279986957514</v>
      </c>
      <c r="O16" s="752">
        <f>IF(O4&gt;MAX('Project Assumptions'!$F$39,'Project Assumptions'!$G$39,'Project Assumptions'!$H$39),0,IF(O4&lt;='Project Assumptions'!$F$39,O6/O8,IF(O4&lt;='Project Assumptions'!$G$39,O6/O9,O6/O10)))</f>
        <v>13520.129901955719</v>
      </c>
      <c r="P16" s="752">
        <f>IF(P4&gt;MAX('Project Assumptions'!$F$39,'Project Assumptions'!$G$39,'Project Assumptions'!$H$39),0,IF(P4&lt;='Project Assumptions'!$F$39,P6/P8,IF(P4&lt;='Project Assumptions'!$G$39,P6/P9,P6/P10)))</f>
        <v>13928.529992220152</v>
      </c>
      <c r="Q16" s="752">
        <f>IF(Q4&gt;MAX('Project Assumptions'!$F$39,'Project Assumptions'!$G$39,'Project Assumptions'!$H$39),0,IF(Q4&lt;='Project Assumptions'!$F$39,Q6/Q8,IF(Q4&lt;='Project Assumptions'!$G$39,Q6/Q9,Q6/Q10)))</f>
        <v>14038.131851497228</v>
      </c>
      <c r="R16" s="752">
        <f>IF(R4&gt;MAX('Project Assumptions'!$F$39,'Project Assumptions'!$G$39,'Project Assumptions'!$H$39),0,IF(R4&lt;='Project Assumptions'!$F$39,R6/R8,IF(R4&lt;='Project Assumptions'!$G$39,R6/R9,R6/R10)))</f>
        <v>14141.690259541752</v>
      </c>
      <c r="S16" s="752">
        <f>IF(S4&gt;MAX('Project Assumptions'!$F$39,'Project Assumptions'!$G$39,'Project Assumptions'!$H$39),0,IF(S4&lt;='Project Assumptions'!$F$39,S6/S8,IF(S4&lt;='Project Assumptions'!$G$39,S6/S9,S6/S10)))</f>
        <v>14238.743967606428</v>
      </c>
      <c r="T16" s="752">
        <f>IF(T4&gt;MAX('Project Assumptions'!$F$39,'Project Assumptions'!$G$39,'Project Assumptions'!$H$39),0,IF(T4&lt;='Project Assumptions'!$F$39,T6/T8,IF(T4&lt;='Project Assumptions'!$G$39,T6/T9,T6/T10)))</f>
        <v>14328.809491125226</v>
      </c>
      <c r="U16" s="752">
        <f>IF(U4&gt;MAX('Project Assumptions'!$F$39,'Project Assumptions'!$G$39,'Project Assumptions'!$H$39),0,IF(U4&lt;='Project Assumptions'!$F$39,U6/U8,IF(U4&lt;='Project Assumptions'!$G$39,U6/U9,U6/U10)))</f>
        <v>14411.380190688133</v>
      </c>
      <c r="V16" s="752">
        <f>IF(V4&gt;MAX('Project Assumptions'!$F$39,'Project Assumptions'!$G$39,'Project Assumptions'!$H$39),0,IF(V4&lt;='Project Assumptions'!$F$39,V6/V8,IF(V4&lt;='Project Assumptions'!$G$39,V6/V9,V6/V10)))</f>
        <v>14485.925317886629</v>
      </c>
      <c r="W16" s="752">
        <f>IF(W4&gt;MAX('Project Assumptions'!$F$39,'Project Assumptions'!$G$39,'Project Assumptions'!$H$39),0,IF(W4&lt;='Project Assumptions'!$F$39,W6/W8,IF(W4&lt;='Project Assumptions'!$G$39,W6/W9,W6/W10)))</f>
        <v>14551.889024749242</v>
      </c>
      <c r="X16" s="752">
        <f>IF(X4&gt;MAX('Project Assumptions'!$F$39,'Project Assumptions'!$G$39,'Project Assumptions'!$H$39),0,IF(X4&lt;='Project Assumptions'!$F$39,X6/X8,IF(X4&lt;='Project Assumptions'!$G$39,X6/X9,X6/X10)))</f>
        <v>14608.689335441337</v>
      </c>
      <c r="Y16" s="752">
        <f>IF(Y4&gt;MAX('Project Assumptions'!$F$39,'Project Assumptions'!$G$39,'Project Assumptions'!$H$39),0,IF(Y4&lt;='Project Assumptions'!$F$39,Y6/Y8,IF(Y4&lt;='Project Assumptions'!$G$39,Y6/Y9,Y6/Y10)))</f>
        <v>0</v>
      </c>
      <c r="Z16" s="752">
        <f>IF(Z4&gt;MAX('Project Assumptions'!$F$39,'Project Assumptions'!$G$39,'Project Assumptions'!$H$39),0,IF(Z4&lt;='Project Assumptions'!$F$39,Z6/Z8,IF(Z4&lt;='Project Assumptions'!$G$39,Z6/Z9,Z6/Z10)))</f>
        <v>0</v>
      </c>
      <c r="AA16" s="752">
        <f>IF(AA4&gt;MAX('Project Assumptions'!$F$39,'Project Assumptions'!$G$39,'Project Assumptions'!$H$39),0,IF(AA4&lt;='Project Assumptions'!$F$39,AA6/AA8,IF(AA4&lt;='Project Assumptions'!$G$39,AA6/AA9,AA6/AA10)))</f>
        <v>0</v>
      </c>
      <c r="AB16" s="752">
        <f>IF(AB4&gt;MAX('Project Assumptions'!$F$39,'Project Assumptions'!$G$39,'Project Assumptions'!$H$39),0,IF(AB4&lt;='Project Assumptions'!$F$39,AB6/AB8,IF(AB4&lt;='Project Assumptions'!$G$39,AB6/AB9,AB6/AB10)))</f>
        <v>0</v>
      </c>
      <c r="AC16" s="753">
        <f>IF(AC4&gt;MAX('Project Assumptions'!$F$39,'Project Assumptions'!$G$39,'Project Assumptions'!$H$39),0,IF(AC4&lt;='Project Assumptions'!$F$39,AC6/AC8,IF(AC4&lt;='Project Assumptions'!$G$39,AC6/AC9,AC6/AC10)))</f>
        <v>0</v>
      </c>
      <c r="AD16" s="749"/>
      <c r="AE16" s="742"/>
      <c r="AF16" s="742"/>
      <c r="AG16" s="742"/>
      <c r="AH16" s="742"/>
      <c r="AI16" s="742"/>
    </row>
    <row r="17" spans="1:35" s="48" customFormat="1">
      <c r="A17" s="754"/>
      <c r="B17" s="738"/>
      <c r="C17" s="738"/>
      <c r="D17" s="738"/>
      <c r="E17" s="755"/>
      <c r="F17" s="755"/>
      <c r="G17" s="755"/>
      <c r="H17" s="755"/>
      <c r="I17" s="755"/>
      <c r="J17" s="755"/>
      <c r="K17" s="755"/>
      <c r="L17" s="755"/>
      <c r="M17" s="755"/>
      <c r="N17" s="755"/>
      <c r="O17" s="755"/>
      <c r="P17" s="755"/>
      <c r="Q17" s="755"/>
      <c r="R17" s="755"/>
      <c r="S17" s="755"/>
      <c r="T17" s="755"/>
      <c r="U17" s="755"/>
      <c r="V17" s="755"/>
      <c r="W17" s="755"/>
      <c r="X17" s="755"/>
      <c r="Y17" s="755"/>
      <c r="Z17" s="755"/>
      <c r="AA17" s="755"/>
      <c r="AB17" s="755"/>
      <c r="AC17" s="756"/>
      <c r="AD17" s="749"/>
      <c r="AE17" s="742"/>
      <c r="AF17" s="742"/>
      <c r="AG17" s="742"/>
      <c r="AH17" s="742"/>
      <c r="AI17" s="742"/>
    </row>
    <row r="18" spans="1:35" s="48" customFormat="1">
      <c r="A18" s="737"/>
      <c r="B18" s="757">
        <f>'Project Assumptions'!$G$16</f>
        <v>36678</v>
      </c>
      <c r="C18" s="757">
        <f>DATE(YEAR('Project Assumptions'!$G$16),12,31)</f>
        <v>36891</v>
      </c>
      <c r="D18" s="738"/>
      <c r="E18" s="755"/>
      <c r="F18" s="755"/>
      <c r="G18" s="755"/>
      <c r="H18" s="755"/>
      <c r="I18" s="755"/>
      <c r="J18" s="755"/>
      <c r="K18" s="755"/>
      <c r="L18" s="755"/>
      <c r="M18" s="755"/>
      <c r="N18" s="755"/>
      <c r="O18" s="755"/>
      <c r="P18" s="755"/>
      <c r="Q18" s="755"/>
      <c r="R18" s="755"/>
      <c r="S18" s="755"/>
      <c r="T18" s="755"/>
      <c r="U18" s="755"/>
      <c r="V18" s="755"/>
      <c r="W18" s="755"/>
      <c r="X18" s="755"/>
      <c r="Y18" s="755"/>
      <c r="Z18" s="755"/>
      <c r="AA18" s="755"/>
      <c r="AB18" s="755"/>
      <c r="AC18" s="756"/>
      <c r="AD18" s="742"/>
      <c r="AE18" s="742"/>
      <c r="AF18" s="742"/>
      <c r="AG18" s="742"/>
      <c r="AH18" s="742"/>
      <c r="AI18" s="742"/>
    </row>
    <row r="19" spans="1:35" s="48" customFormat="1">
      <c r="A19" s="737" t="s">
        <v>205</v>
      </c>
      <c r="B19" s="758">
        <f>NPV(E12*(13-MONTH('Project Assumptions'!G16))/12,C19)</f>
        <v>41367.281660921377</v>
      </c>
      <c r="C19" s="758">
        <f>NPV(F12,F19:AC19)+E19</f>
        <v>42990.085647744607</v>
      </c>
      <c r="D19" s="738"/>
      <c r="E19" s="733">
        <f>IF(E4&gt;'Project Assumptions'!$F$39,0,E16-E35-E43)</f>
        <v>7179.7277813432629</v>
      </c>
      <c r="F19" s="733">
        <f>IF(F4&gt;'Project Assumptions'!$F$39,0,F16-F35-F43)</f>
        <v>12433.098668474688</v>
      </c>
      <c r="G19" s="733">
        <f>IF(G4&gt;'Project Assumptions'!$F$39,0,G16-G35-G43)</f>
        <v>12382.041535850249</v>
      </c>
      <c r="H19" s="733">
        <f>IF(H4&gt;'Project Assumptions'!$F$39,0,H16-H35-H43)</f>
        <v>16155.539022037234</v>
      </c>
      <c r="I19" s="733">
        <f>IF(I4&gt;'Project Assumptions'!$F$39,0,I16-I35-I43)</f>
        <v>0</v>
      </c>
      <c r="J19" s="733">
        <f>IF(J4&gt;'Project Assumptions'!$F$39,0,J16-J35-J43)</f>
        <v>0</v>
      </c>
      <c r="K19" s="733">
        <f>IF(K4&gt;'Project Assumptions'!$F$39,0,K16-K35-K43)</f>
        <v>0</v>
      </c>
      <c r="L19" s="733">
        <f>IF(L4&gt;'Project Assumptions'!$F$39,0,L16-L35-L43)</f>
        <v>0</v>
      </c>
      <c r="M19" s="733">
        <f>IF(M4&gt;'Project Assumptions'!$F$39,0,M16-M35-M43)</f>
        <v>0</v>
      </c>
      <c r="N19" s="733">
        <f>IF(N4&gt;'Project Assumptions'!$F$39,0,N16-N35-N43)</f>
        <v>0</v>
      </c>
      <c r="O19" s="733">
        <f>IF(O4&gt;'Project Assumptions'!$F$39,0,O16-O35-O43)</f>
        <v>0</v>
      </c>
      <c r="P19" s="733">
        <f>IF(P4&gt;'Project Assumptions'!$F$39,0,P16-P35-P43)</f>
        <v>0</v>
      </c>
      <c r="Q19" s="733">
        <f>IF(Q4&gt;'Project Assumptions'!$F$39,0,Q16-Q35-Q43)</f>
        <v>0</v>
      </c>
      <c r="R19" s="733">
        <f>IF(R4&gt;'Project Assumptions'!$F$39,0,R16-R35-R43)</f>
        <v>0</v>
      </c>
      <c r="S19" s="733">
        <f>IF(S4&gt;'Project Assumptions'!$F$39,0,S16-S35-S43)</f>
        <v>0</v>
      </c>
      <c r="T19" s="733">
        <f>IF(T4&gt;'Project Assumptions'!$F$39,0,T16-T35-T43)</f>
        <v>0</v>
      </c>
      <c r="U19" s="733">
        <f>IF(U4&gt;'Project Assumptions'!$F$39,0,U16-U35-U43)</f>
        <v>0</v>
      </c>
      <c r="V19" s="733">
        <f>IF(V4&gt;'Project Assumptions'!$F$39,0,V16-V35-V43)</f>
        <v>0</v>
      </c>
      <c r="W19" s="733">
        <f>IF(W4&gt;'Project Assumptions'!$F$39,0,W16-W35-W43)</f>
        <v>0</v>
      </c>
      <c r="X19" s="733">
        <f>IF(X4&gt;'Project Assumptions'!$F$39,0,X16-X35-X43)</f>
        <v>0</v>
      </c>
      <c r="Y19" s="733">
        <f>IF(Y4&gt;'Project Assumptions'!$F$39,0,Y16-Y35-Y43)</f>
        <v>0</v>
      </c>
      <c r="Z19" s="733">
        <f>IF(Z4&gt;'Project Assumptions'!$F$39,0,Z16-Z35-Z43)</f>
        <v>0</v>
      </c>
      <c r="AA19" s="733">
        <f>IF(AA4&gt;'Project Assumptions'!$F$39,0,AA16-AA35-AA43)</f>
        <v>0</v>
      </c>
      <c r="AB19" s="733">
        <f>IF(AB4&gt;'Project Assumptions'!$F$39,0,AB16-AB35-AB43)</f>
        <v>0</v>
      </c>
      <c r="AC19" s="734">
        <f>IF(AC4&gt;'Project Assumptions'!$F$39,0,AC16-AC35-AC43)</f>
        <v>0</v>
      </c>
      <c r="AD19" s="742"/>
      <c r="AE19" s="742"/>
      <c r="AF19" s="742"/>
      <c r="AG19" s="742"/>
      <c r="AH19" s="742"/>
      <c r="AI19" s="742"/>
    </row>
    <row r="20" spans="1:35" s="48" customFormat="1">
      <c r="A20" s="737" t="s">
        <v>206</v>
      </c>
      <c r="B20" s="755">
        <f>HLOOKUP('Project Assumptions'!$F$39,$E$4:$AC$20,17)</f>
        <v>59535.510897714543</v>
      </c>
      <c r="C20" s="755"/>
      <c r="D20" s="738"/>
      <c r="E20" s="733">
        <f>IF(E4&lt;'Project Assumptions'!$F$39,0,IF(E4='Project Assumptions'!$F$39,NPV(F13,F20:$AC$20),IF(E4&lt;='Project Assumptions'!$G$39,E16-E43,0)))</f>
        <v>0</v>
      </c>
      <c r="F20" s="733">
        <f>IF(F4&lt;'Project Assumptions'!$F$39,0,IF(F4='Project Assumptions'!$F$39,NPV(G13,G20:$AC$20),IF(F4&lt;='Project Assumptions'!$G$39,F16-F43,0)))</f>
        <v>0</v>
      </c>
      <c r="G20" s="733">
        <f>IF(G4&lt;'Project Assumptions'!$F$39,0,IF(G4='Project Assumptions'!$F$39,NPV(H13,H20:$AC$20),IF(G4&lt;='Project Assumptions'!$G$39,G16-G43,0)))</f>
        <v>0</v>
      </c>
      <c r="H20" s="733">
        <f>IF(H4&lt;'Project Assumptions'!$F$39,0,IF(H4='Project Assumptions'!$F$39,NPV(I13,I20:$AC$20),IF(H4&lt;='Project Assumptions'!$G$39,H16-H43,0)))</f>
        <v>59535.510897714543</v>
      </c>
      <c r="I20" s="733">
        <f>IF(I4&lt;'Project Assumptions'!$F$39,0,IF(I4='Project Assumptions'!$F$39,NPV(J13,J20:$AC$20),IF(I4&lt;='Project Assumptions'!$G$39,I16-I43,0)))</f>
        <v>12289.932134554449</v>
      </c>
      <c r="J20" s="733">
        <f>IF(J4&lt;'Project Assumptions'!$F$39,0,IF(J4='Project Assumptions'!$F$39,NPV(K13,K20:$AC$20),IF(J4&lt;='Project Assumptions'!$G$39,J16-J43,0)))</f>
        <v>12408.513987177832</v>
      </c>
      <c r="K20" s="733">
        <f>IF(K4&lt;'Project Assumptions'!$F$39,0,IF(K4='Project Assumptions'!$F$39,NPV(L13,L20:$AC$20),IF(K4&lt;='Project Assumptions'!$G$39,K16-K43,0)))</f>
        <v>12523.065926241348</v>
      </c>
      <c r="L20" s="733">
        <f>IF(L4&lt;'Project Assumptions'!$F$39,0,IF(L4='Project Assumptions'!$F$39,NPV(M13,M20:$AC$20),IF(L4&lt;='Project Assumptions'!$G$39,L16-L43,0)))</f>
        <v>12901.554097234348</v>
      </c>
      <c r="M20" s="733">
        <f>IF(M4&lt;'Project Assumptions'!$F$39,0,IF(M4='Project Assumptions'!$F$39,NPV(N13,N20:$AC$20),IF(M4&lt;='Project Assumptions'!$G$39,M16-M43,0)))</f>
        <v>13015.032809467726</v>
      </c>
      <c r="N20" s="733">
        <f>IF(N4&lt;'Project Assumptions'!$F$39,0,IF(N4='Project Assumptions'!$F$39,NPV(O13,O20:$AC$20),IF(N4&lt;='Project Assumptions'!$G$39,N16-N43,0)))</f>
        <v>13408.279986957514</v>
      </c>
      <c r="O20" s="733">
        <f>IF(O4&lt;'Project Assumptions'!$F$39,0,IF(O4='Project Assumptions'!$F$39,NPV(P13,P20:$AC$20),IF(O4&lt;='Project Assumptions'!$G$39,O16-O43,0)))</f>
        <v>0</v>
      </c>
      <c r="P20" s="733">
        <f>IF(P4&lt;'Project Assumptions'!$F$39,0,IF(P4='Project Assumptions'!$F$39,NPV(Q13,Q20:$AC$20),IF(P4&lt;='Project Assumptions'!$G$39,P16-P43,0)))</f>
        <v>0</v>
      </c>
      <c r="Q20" s="733">
        <f>IF(Q4&lt;'Project Assumptions'!$F$39,0,IF(Q4='Project Assumptions'!$F$39,NPV(R13,R20:$AC$20),IF(Q4&lt;='Project Assumptions'!$G$39,Q16-Q43,0)))</f>
        <v>0</v>
      </c>
      <c r="R20" s="733">
        <f>IF(R4&lt;'Project Assumptions'!$F$39,0,IF(R4='Project Assumptions'!$F$39,NPV(S13,S20:$AC$20),IF(R4&lt;='Project Assumptions'!$G$39,R16-R43,0)))</f>
        <v>0</v>
      </c>
      <c r="S20" s="733">
        <f>IF(S4&lt;'Project Assumptions'!$F$39,0,IF(S4='Project Assumptions'!$F$39,NPV(T13,T20:$AC$20),IF(S4&lt;='Project Assumptions'!$G$39,S16-S43,0)))</f>
        <v>0</v>
      </c>
      <c r="T20" s="733">
        <f>IF(T4&lt;'Project Assumptions'!$F$39,0,IF(T4='Project Assumptions'!$F$39,NPV(U13,U20:$AC$20),IF(T4&lt;='Project Assumptions'!$G$39,T16-T43,0)))</f>
        <v>0</v>
      </c>
      <c r="U20" s="733">
        <f>IF(U4&lt;'Project Assumptions'!$F$39,0,IF(U4='Project Assumptions'!$F$39,NPV(V13,V20:$AC$20),IF(U4&lt;='Project Assumptions'!$G$39,U16-U43,0)))</f>
        <v>0</v>
      </c>
      <c r="V20" s="733">
        <f>IF(V4&lt;'Project Assumptions'!$F$39,0,IF(V4='Project Assumptions'!$F$39,NPV(W13,W20:$AC$20),IF(V4&lt;='Project Assumptions'!$G$39,V16-V43,0)))</f>
        <v>0</v>
      </c>
      <c r="W20" s="733">
        <f>IF(W4&lt;'Project Assumptions'!$F$39,0,IF(W4='Project Assumptions'!$F$39,NPV(X13,X20:$AC$20),IF(W4&lt;='Project Assumptions'!$G$39,W16-W43,0)))</f>
        <v>0</v>
      </c>
      <c r="X20" s="733">
        <f>IF(X4&lt;'Project Assumptions'!$F$39,0,IF(X4='Project Assumptions'!$F$39,NPV(Y13,Y20:$AC$20),IF(X4&lt;='Project Assumptions'!$G$39,X16-X43,0)))</f>
        <v>0</v>
      </c>
      <c r="Y20" s="733">
        <f>IF(Y4&lt;'Project Assumptions'!$F$39,0,IF(Y4='Project Assumptions'!$F$39,NPV(Z13,Z20:$AC$20),IF(Y4&lt;='Project Assumptions'!$G$39,Y16-Y43,0)))</f>
        <v>0</v>
      </c>
      <c r="Z20" s="733">
        <f>IF(Z4&lt;'Project Assumptions'!$F$39,0,IF(Z4='Project Assumptions'!$F$39,NPV(AA13,AA20:$AC$20),IF(Z4&lt;='Project Assumptions'!$G$39,Z16-Z43,0)))</f>
        <v>0</v>
      </c>
      <c r="AA20" s="733">
        <f>IF(AA4&lt;'Project Assumptions'!$F$39,0,IF(AA4='Project Assumptions'!$F$39,NPV(AB13,AB20:$AC$20),IF(AA4&lt;='Project Assumptions'!$G$39,AA16-AA43,0)))</f>
        <v>0</v>
      </c>
      <c r="AB20" s="733">
        <f>IF(AB4&lt;'Project Assumptions'!$F$39,0,IF(AB4='Project Assumptions'!$F$39,NPV(AC13,AC20:$AC$20),IF(AB4&lt;='Project Assumptions'!$G$39,AB16-AB43,0)))</f>
        <v>0</v>
      </c>
      <c r="AC20" s="734">
        <f>IF(AC4&lt;'Project Assumptions'!$F$39,0,IF(AC4='Project Assumptions'!$F$39,NPV(AD13,$AC20:AD$20),IF(AC4&lt;='Project Assumptions'!$G$39,AC16-AC43,0)))</f>
        <v>0</v>
      </c>
      <c r="AD20" s="742"/>
      <c r="AE20" s="742"/>
      <c r="AF20" s="742"/>
      <c r="AG20" s="742"/>
      <c r="AH20" s="742"/>
      <c r="AI20" s="742"/>
    </row>
    <row r="21" spans="1:35" s="48" customFormat="1" ht="15">
      <c r="A21" s="737" t="s">
        <v>207</v>
      </c>
      <c r="B21" s="759">
        <f>IF('Project Assumptions'!$H$39=0,0,HLOOKUP('Project Assumptions'!$G$39,$E$4:$AC$21,18))</f>
        <v>94223.970078209168</v>
      </c>
      <c r="C21" s="759"/>
      <c r="D21" s="738"/>
      <c r="E21" s="733">
        <f>IF(OR(E4&lt;'Project Assumptions'!$G$39,'Project Assumptions'!$G$39=0,'Project Assumptions'!$H$39=0),0,IF(E4='Project Assumptions'!$G$39,NPV(F14,F21:$AC$21),IF(E4&lt;='Project Assumptions'!$H$39,E16,0)))</f>
        <v>0</v>
      </c>
      <c r="F21" s="733">
        <f>IF(OR(F4&lt;'Project Assumptions'!$G$39,'Project Assumptions'!$G$39=0,'Project Assumptions'!$H$39=0),0,IF(F4='Project Assumptions'!$G$39,NPV(G14,G21:$AC$21),IF(F4&lt;='Project Assumptions'!$H$39,F16,0)))</f>
        <v>0</v>
      </c>
      <c r="G21" s="733">
        <f>IF(OR(G4&lt;'Project Assumptions'!$G$39,'Project Assumptions'!$G$39=0,'Project Assumptions'!$H$39=0),0,IF(G4='Project Assumptions'!$G$39,NPV(H14,H21:$AC$21),IF(G4&lt;='Project Assumptions'!$H$39,G16,0)))</f>
        <v>0</v>
      </c>
      <c r="H21" s="733">
        <f>IF(OR(H4&lt;'Project Assumptions'!$G$39,'Project Assumptions'!$G$39=0,'Project Assumptions'!$H$39=0),0,IF(H4='Project Assumptions'!$G$39,NPV(I14,I21:$AC$21),IF(H4&lt;='Project Assumptions'!$H$39,H16,0)))</f>
        <v>0</v>
      </c>
      <c r="I21" s="733">
        <f>IF(OR(I4&lt;'Project Assumptions'!$G$39,'Project Assumptions'!$G$39=0,'Project Assumptions'!$H$39=0),0,IF(I4='Project Assumptions'!$G$39,NPV(J14,J21:$AC$21),IF(I4&lt;='Project Assumptions'!$H$39,I16,0)))</f>
        <v>0</v>
      </c>
      <c r="J21" s="733">
        <f>IF(OR(J4&lt;'Project Assumptions'!$G$39,'Project Assumptions'!$G$39=0,'Project Assumptions'!$H$39=0),0,IF(J4='Project Assumptions'!$G$39,NPV(K14,K21:$AC$21),IF(J4&lt;='Project Assumptions'!$H$39,J16,0)))</f>
        <v>0</v>
      </c>
      <c r="K21" s="733">
        <f>IF(OR(K4&lt;'Project Assumptions'!$G$39,'Project Assumptions'!$G$39=0,'Project Assumptions'!$H$39=0),0,IF(K4='Project Assumptions'!$G$39,NPV(L14,L21:$AC$21),IF(K4&lt;='Project Assumptions'!$H$39,K16,0)))</f>
        <v>0</v>
      </c>
      <c r="L21" s="733">
        <f>IF(OR(L4&lt;'Project Assumptions'!$G$39,'Project Assumptions'!$G$39=0,'Project Assumptions'!$H$39=0),0,IF(L4='Project Assumptions'!$G$39,NPV(M14,M21:$AC$21),IF(L4&lt;='Project Assumptions'!$H$39,L16,0)))</f>
        <v>0</v>
      </c>
      <c r="M21" s="733">
        <f>IF(OR(M4&lt;'Project Assumptions'!$G$39,'Project Assumptions'!$G$39=0,'Project Assumptions'!$H$39=0),0,IF(M4='Project Assumptions'!$G$39,NPV(N14,N21:$AC$21),IF(M4&lt;='Project Assumptions'!$H$39,M16,0)))</f>
        <v>0</v>
      </c>
      <c r="N21" s="733">
        <f>IF(OR(N4&lt;'Project Assumptions'!$G$39,'Project Assumptions'!$G$39=0,'Project Assumptions'!$H$39=0),0,IF(N4='Project Assumptions'!$G$39,NPV(O14,O21:$AC$21),IF(N4&lt;='Project Assumptions'!$H$39,N16,0)))</f>
        <v>94223.970078209168</v>
      </c>
      <c r="O21" s="733">
        <f>IF(OR(O4&lt;'Project Assumptions'!$G$39,'Project Assumptions'!$G$39=0,'Project Assumptions'!$H$39=0),0,IF(O4='Project Assumptions'!$G$39,NPV(P14,P21:$AC$21),IF(O4&lt;='Project Assumptions'!$H$39,O16,0)))</f>
        <v>13520.129901955719</v>
      </c>
      <c r="P21" s="733">
        <f>IF(OR(P4&lt;'Project Assumptions'!$G$39,'Project Assumptions'!$G$39=0,'Project Assumptions'!$H$39=0),0,IF(P4='Project Assumptions'!$G$39,NPV(Q14,Q21:$AC$21),IF(P4&lt;='Project Assumptions'!$H$39,P16,0)))</f>
        <v>13928.529992220152</v>
      </c>
      <c r="Q21" s="733">
        <f>IF(OR(Q4&lt;'Project Assumptions'!$G$39,'Project Assumptions'!$G$39=0,'Project Assumptions'!$H$39=0),0,IF(Q4='Project Assumptions'!$G$39,NPV(R14,R21:$AC$21),IF(Q4&lt;='Project Assumptions'!$H$39,Q16,0)))</f>
        <v>14038.131851497228</v>
      </c>
      <c r="R21" s="733">
        <f>IF(OR(R4&lt;'Project Assumptions'!$G$39,'Project Assumptions'!$G$39=0,'Project Assumptions'!$H$39=0),0,IF(R4='Project Assumptions'!$G$39,NPV(S14,S21:$AC$21),IF(R4&lt;='Project Assumptions'!$H$39,R16,0)))</f>
        <v>14141.690259541752</v>
      </c>
      <c r="S21" s="733">
        <f>IF(OR(S4&lt;'Project Assumptions'!$G$39,'Project Assumptions'!$G$39=0,'Project Assumptions'!$H$39=0),0,IF(S4='Project Assumptions'!$G$39,NPV(T14,T21:$AC$21),IF(S4&lt;='Project Assumptions'!$H$39,S16,0)))</f>
        <v>14238.743967606428</v>
      </c>
      <c r="T21" s="733">
        <f>IF(OR(T4&lt;'Project Assumptions'!$G$39,'Project Assumptions'!$G$39=0,'Project Assumptions'!$H$39=0),0,IF(T4='Project Assumptions'!$G$39,NPV(U14,U21:$AC$21),IF(T4&lt;='Project Assumptions'!$H$39,T16,0)))</f>
        <v>14328.809491125226</v>
      </c>
      <c r="U21" s="733">
        <f>IF(OR(U4&lt;'Project Assumptions'!$G$39,'Project Assumptions'!$G$39=0,'Project Assumptions'!$H$39=0),0,IF(U4='Project Assumptions'!$G$39,NPV(V14,V21:$AC$21),IF(U4&lt;='Project Assumptions'!$H$39,U16,0)))</f>
        <v>14411.380190688133</v>
      </c>
      <c r="V21" s="733">
        <f>IF(OR(V4&lt;'Project Assumptions'!$G$39,'Project Assumptions'!$G$39=0,'Project Assumptions'!$H$39=0),0,IF(V4='Project Assumptions'!$G$39,NPV(W14,W21:$AC$21),IF(V4&lt;='Project Assumptions'!$H$39,V16,0)))</f>
        <v>14485.925317886629</v>
      </c>
      <c r="W21" s="733">
        <f>IF(OR(W4&lt;'Project Assumptions'!$G$39,'Project Assumptions'!$G$39=0,'Project Assumptions'!$H$39=0),0,IF(W4='Project Assumptions'!$G$39,NPV(X14,X21:$AC$21),IF(W4&lt;='Project Assumptions'!$H$39,W16,0)))</f>
        <v>14551.889024749242</v>
      </c>
      <c r="X21" s="733">
        <f>IF(OR(X4&lt;'Project Assumptions'!$G$39,'Project Assumptions'!$G$39=0,'Project Assumptions'!$H$39=0),0,IF(X4='Project Assumptions'!$G$39,NPV(Y14,Y21:$AC$21),IF(X4&lt;='Project Assumptions'!$H$39,X16,0)))</f>
        <v>14608.689335441337</v>
      </c>
      <c r="Y21" s="733">
        <f>IF(OR(Y4&lt;'Project Assumptions'!$G$39,'Project Assumptions'!$G$39=0,'Project Assumptions'!$H$39=0),0,IF(Y4='Project Assumptions'!$G$39,NPV(Z14,Z21:$AC$21),IF(Y4&lt;='Project Assumptions'!$H$39,Y16,0)))</f>
        <v>0</v>
      </c>
      <c r="Z21" s="733">
        <f>IF(OR(Z4&lt;'Project Assumptions'!$G$39,'Project Assumptions'!$G$39=0,'Project Assumptions'!$H$39=0),0,IF(Z4='Project Assumptions'!$G$39,NPV(AA14,AA21:$AC$21),IF(Z4&lt;='Project Assumptions'!$H$39,Z16,0)))</f>
        <v>0</v>
      </c>
      <c r="AA21" s="733">
        <f>IF(OR(AA4&lt;'Project Assumptions'!$G$39,'Project Assumptions'!$G$39=0,'Project Assumptions'!$H$39=0),0,IF(AA4='Project Assumptions'!$G$39,NPV(AB14,AB21:$AC$21),IF(AA4&lt;='Project Assumptions'!$H$39,AA16,0)))</f>
        <v>0</v>
      </c>
      <c r="AB21" s="733">
        <f>IF(OR(AB4&lt;'Project Assumptions'!$G$39,'Project Assumptions'!$G$39=0,'Project Assumptions'!$H$39=0),0,IF(AB4='Project Assumptions'!$G$39,NPV(AC14,AC21:$AC$21),IF(AB4&lt;='Project Assumptions'!$H$39,AB16,0)))</f>
        <v>0</v>
      </c>
      <c r="AC21" s="734">
        <f>IF(OR(AC4&lt;'Project Assumptions'!$G$39,'Project Assumptions'!$G$39=0,'Project Assumptions'!$H$39=0),0,IF(AC4='Project Assumptions'!$G$39,NPV(AD14,$AC21:AD$21),IF(AC4&lt;='Project Assumptions'!$H$39,AC16,0)))</f>
        <v>0</v>
      </c>
      <c r="AD21" s="742"/>
      <c r="AE21" s="742"/>
      <c r="AF21" s="742"/>
      <c r="AG21" s="742"/>
      <c r="AH21" s="742"/>
      <c r="AI21" s="742"/>
    </row>
    <row r="22" spans="1:35" s="48" customFormat="1">
      <c r="A22" s="760" t="s">
        <v>210</v>
      </c>
      <c r="B22" s="761">
        <f>SUM(B19:B21)</f>
        <v>195126.76263684509</v>
      </c>
      <c r="C22" s="762"/>
      <c r="D22" s="746"/>
      <c r="E22" s="763"/>
      <c r="F22" s="763"/>
      <c r="G22" s="763"/>
      <c r="H22" s="763"/>
      <c r="I22" s="763"/>
      <c r="J22" s="763"/>
      <c r="K22" s="763"/>
      <c r="L22" s="763"/>
      <c r="M22" s="763"/>
      <c r="N22" s="763"/>
      <c r="O22" s="763"/>
      <c r="P22" s="763"/>
      <c r="Q22" s="763"/>
      <c r="R22" s="763"/>
      <c r="S22" s="763"/>
      <c r="T22" s="763"/>
      <c r="U22" s="763"/>
      <c r="V22" s="763"/>
      <c r="W22" s="763"/>
      <c r="X22" s="763"/>
      <c r="Y22" s="763"/>
      <c r="Z22" s="763"/>
      <c r="AA22" s="763"/>
      <c r="AB22" s="763"/>
      <c r="AC22" s="764"/>
      <c r="AD22" s="742"/>
      <c r="AE22" s="742"/>
      <c r="AF22" s="742"/>
      <c r="AG22" s="742"/>
      <c r="AH22" s="742"/>
      <c r="AI22" s="742"/>
    </row>
    <row r="23" spans="1:35" s="49" customFormat="1">
      <c r="A23" s="247"/>
      <c r="B23" s="765"/>
      <c r="C23" s="765"/>
      <c r="D23" s="722"/>
      <c r="E23" s="766"/>
      <c r="F23" s="766"/>
      <c r="G23" s="766"/>
      <c r="H23" s="766"/>
      <c r="I23" s="766"/>
      <c r="J23" s="766"/>
      <c r="K23" s="766"/>
      <c r="L23" s="766"/>
      <c r="M23" s="766"/>
      <c r="N23" s="766"/>
      <c r="O23" s="766"/>
      <c r="P23" s="766"/>
      <c r="Q23" s="766"/>
      <c r="R23" s="766"/>
      <c r="S23" s="766"/>
      <c r="T23" s="766"/>
      <c r="U23" s="766"/>
      <c r="V23" s="766"/>
      <c r="W23" s="766"/>
      <c r="X23" s="766"/>
      <c r="Y23" s="766"/>
      <c r="Z23" s="766"/>
      <c r="AA23" s="766"/>
      <c r="AB23" s="766"/>
      <c r="AC23" s="766"/>
      <c r="AD23" s="247"/>
      <c r="AE23" s="247"/>
      <c r="AF23" s="247"/>
      <c r="AG23" s="247"/>
      <c r="AH23" s="247"/>
      <c r="AI23" s="247"/>
    </row>
    <row r="24" spans="1:35" s="49" customFormat="1">
      <c r="A24" s="247"/>
      <c r="B24" s="765"/>
      <c r="C24" s="765"/>
      <c r="D24" s="722"/>
      <c r="E24" s="767"/>
      <c r="F24" s="767"/>
      <c r="G24" s="722"/>
      <c r="H24" s="722"/>
      <c r="I24" s="722"/>
      <c r="J24" s="722"/>
      <c r="K24" s="722"/>
      <c r="L24" s="722"/>
      <c r="M24" s="722"/>
      <c r="N24" s="722"/>
      <c r="O24" s="722"/>
      <c r="P24" s="722"/>
      <c r="Q24" s="722"/>
      <c r="R24" s="722"/>
      <c r="S24" s="722"/>
      <c r="T24" s="722"/>
      <c r="U24" s="722"/>
      <c r="V24" s="722"/>
      <c r="W24" s="722"/>
      <c r="X24" s="722"/>
      <c r="Y24" s="722"/>
      <c r="Z24" s="722"/>
      <c r="AA24" s="722"/>
      <c r="AB24" s="722"/>
      <c r="AC24" s="247"/>
      <c r="AD24" s="247"/>
      <c r="AE24" s="247"/>
      <c r="AF24" s="247"/>
      <c r="AG24" s="247"/>
      <c r="AH24" s="247"/>
      <c r="AI24" s="247"/>
    </row>
    <row r="25" spans="1:35" s="49" customFormat="1">
      <c r="A25" s="389" t="s">
        <v>109</v>
      </c>
      <c r="B25" s="768"/>
      <c r="C25" s="768"/>
      <c r="D25" s="769"/>
      <c r="E25" s="769"/>
      <c r="F25" s="769"/>
      <c r="G25" s="769"/>
      <c r="H25" s="769"/>
      <c r="I25" s="769"/>
      <c r="J25" s="769"/>
      <c r="K25" s="769"/>
      <c r="L25" s="769"/>
      <c r="M25" s="769"/>
      <c r="N25" s="769"/>
      <c r="O25" s="769"/>
      <c r="P25" s="769"/>
      <c r="Q25" s="769"/>
      <c r="R25" s="769"/>
      <c r="S25" s="769"/>
      <c r="T25" s="769"/>
      <c r="U25" s="769"/>
      <c r="V25" s="769"/>
      <c r="W25" s="769"/>
      <c r="X25" s="769"/>
      <c r="Y25" s="769"/>
      <c r="Z25" s="769"/>
      <c r="AA25" s="769"/>
      <c r="AB25" s="769"/>
      <c r="AC25" s="550"/>
      <c r="AD25" s="247"/>
      <c r="AE25" s="247"/>
      <c r="AF25" s="247"/>
      <c r="AG25" s="247"/>
      <c r="AH25" s="247"/>
      <c r="AI25" s="247"/>
    </row>
    <row r="26" spans="1:35" s="49" customFormat="1">
      <c r="A26" s="560" t="s">
        <v>98</v>
      </c>
      <c r="B26" s="770"/>
      <c r="C26" s="770"/>
      <c r="D26" s="148"/>
      <c r="E26" s="733">
        <f>IF(E4&gt;'Project Assumptions'!$F$39,0,B19)</f>
        <v>41367.281660921377</v>
      </c>
      <c r="F26" s="733">
        <f>IF(F4&gt;'Project Assumptions'!$F$39,0,E30)</f>
        <v>35810.35786640134</v>
      </c>
      <c r="G26" s="733">
        <f>IF(G4&gt;'Project Assumptions'!$F$39,0,F30)</f>
        <v>25785.505764442143</v>
      </c>
      <c r="H26" s="733">
        <f>IF(H4&gt;'Project Assumptions'!$F$39,0,G30)</f>
        <v>15137.539491250629</v>
      </c>
      <c r="I26" s="733">
        <f>IF(I4&gt;'Project Assumptions'!$F$39,0,H30)</f>
        <v>0</v>
      </c>
      <c r="J26" s="733">
        <f>IF(J4&gt;'Project Assumptions'!$F$39,0,I30)</f>
        <v>0</v>
      </c>
      <c r="K26" s="733">
        <f>IF(K4&gt;'Project Assumptions'!$F$39,0,J30)</f>
        <v>0</v>
      </c>
      <c r="L26" s="733">
        <f>IF(L4&gt;'Project Assumptions'!$F$39,0,K30)</f>
        <v>0</v>
      </c>
      <c r="M26" s="733">
        <f>IF(M4&gt;'Project Assumptions'!$F$39,0,L30)</f>
        <v>0</v>
      </c>
      <c r="N26" s="733">
        <f>IF(N4&gt;'Project Assumptions'!$F$39,0,M30)</f>
        <v>0</v>
      </c>
      <c r="O26" s="733">
        <f>IF(O4&gt;'Project Assumptions'!$F$39,0,N30)</f>
        <v>0</v>
      </c>
      <c r="P26" s="733">
        <f>IF(P4&gt;'Project Assumptions'!$F$39,0,O30)</f>
        <v>0</v>
      </c>
      <c r="Q26" s="733">
        <f>IF(Q4&gt;'Project Assumptions'!$F$39,0,P30)</f>
        <v>0</v>
      </c>
      <c r="R26" s="733">
        <f>IF(R4&gt;'Project Assumptions'!$F$39,0,Q30)</f>
        <v>0</v>
      </c>
      <c r="S26" s="733">
        <f>IF(S4&gt;'Project Assumptions'!$F$39,0,R30)</f>
        <v>0</v>
      </c>
      <c r="T26" s="733">
        <f>IF(T4&gt;'Project Assumptions'!$F$39,0,S30)</f>
        <v>0</v>
      </c>
      <c r="U26" s="733">
        <f>IF(U4&gt;'Project Assumptions'!$F$39,0,T30)</f>
        <v>0</v>
      </c>
      <c r="V26" s="733">
        <f>IF(V4&gt;'Project Assumptions'!$F$39,0,U30)</f>
        <v>0</v>
      </c>
      <c r="W26" s="733">
        <f>IF(W4&gt;'Project Assumptions'!$F$39,0,V30)</f>
        <v>0</v>
      </c>
      <c r="X26" s="733">
        <f>IF(X4&gt;'Project Assumptions'!$F$39,0,W30)</f>
        <v>0</v>
      </c>
      <c r="Y26" s="733">
        <f>IF(Y4&gt;'Project Assumptions'!$F$39,0,X30)</f>
        <v>0</v>
      </c>
      <c r="Z26" s="733">
        <f>IF(Z4&gt;'Project Assumptions'!$F$39,0,Y30)</f>
        <v>0</v>
      </c>
      <c r="AA26" s="733">
        <f>IF(AA4&gt;'Project Assumptions'!$F$39,0,Z30)</f>
        <v>0</v>
      </c>
      <c r="AB26" s="733">
        <f>IF(AB4&gt;'Project Assumptions'!$F$39,0,AA30)</f>
        <v>0</v>
      </c>
      <c r="AC26" s="734">
        <f>IF(AC4&gt;'Project Assumptions'!$F$39,0,AB30)</f>
        <v>0</v>
      </c>
      <c r="AD26" s="247"/>
      <c r="AE26" s="247"/>
      <c r="AF26" s="247"/>
      <c r="AG26" s="247"/>
      <c r="AH26" s="247"/>
      <c r="AI26" s="247"/>
    </row>
    <row r="27" spans="1:35" s="49" customFormat="1">
      <c r="A27" s="560" t="s">
        <v>99</v>
      </c>
      <c r="B27" s="771"/>
      <c r="C27" s="771"/>
      <c r="D27" s="148"/>
      <c r="E27" s="772">
        <f>E26*$E$12*(13-MONTH('Project Assumptions'!G16))/12</f>
        <v>1622.8039868232281</v>
      </c>
      <c r="F27" s="772">
        <f>F26*F$12</f>
        <v>2408.2465665154896</v>
      </c>
      <c r="G27" s="772">
        <f t="shared" ref="G27:AC27" si="1">G26*G$12</f>
        <v>1734.0752626587339</v>
      </c>
      <c r="H27" s="772">
        <f t="shared" si="1"/>
        <v>1017.9995307866046</v>
      </c>
      <c r="I27" s="772">
        <f t="shared" si="1"/>
        <v>0</v>
      </c>
      <c r="J27" s="772">
        <f t="shared" si="1"/>
        <v>0</v>
      </c>
      <c r="K27" s="772">
        <f t="shared" si="1"/>
        <v>0</v>
      </c>
      <c r="L27" s="772">
        <f t="shared" si="1"/>
        <v>0</v>
      </c>
      <c r="M27" s="772">
        <f t="shared" si="1"/>
        <v>0</v>
      </c>
      <c r="N27" s="772">
        <f t="shared" si="1"/>
        <v>0</v>
      </c>
      <c r="O27" s="772">
        <f t="shared" si="1"/>
        <v>0</v>
      </c>
      <c r="P27" s="772">
        <f t="shared" si="1"/>
        <v>0</v>
      </c>
      <c r="Q27" s="772">
        <f t="shared" si="1"/>
        <v>0</v>
      </c>
      <c r="R27" s="772">
        <f t="shared" si="1"/>
        <v>0</v>
      </c>
      <c r="S27" s="772">
        <f t="shared" si="1"/>
        <v>0</v>
      </c>
      <c r="T27" s="772">
        <f t="shared" si="1"/>
        <v>0</v>
      </c>
      <c r="U27" s="772">
        <f t="shared" si="1"/>
        <v>0</v>
      </c>
      <c r="V27" s="772">
        <f t="shared" si="1"/>
        <v>0</v>
      </c>
      <c r="W27" s="772">
        <f t="shared" si="1"/>
        <v>0</v>
      </c>
      <c r="X27" s="772">
        <f t="shared" si="1"/>
        <v>0</v>
      </c>
      <c r="Y27" s="772">
        <f t="shared" si="1"/>
        <v>0</v>
      </c>
      <c r="Z27" s="772">
        <f t="shared" si="1"/>
        <v>0</v>
      </c>
      <c r="AA27" s="772">
        <f t="shared" si="1"/>
        <v>0</v>
      </c>
      <c r="AB27" s="772">
        <f t="shared" si="1"/>
        <v>0</v>
      </c>
      <c r="AC27" s="773">
        <f t="shared" si="1"/>
        <v>0</v>
      </c>
      <c r="AD27" s="247"/>
      <c r="AE27" s="247"/>
      <c r="AF27" s="247"/>
      <c r="AG27" s="247"/>
      <c r="AH27" s="247"/>
      <c r="AI27" s="247"/>
    </row>
    <row r="28" spans="1:35" s="49" customFormat="1">
      <c r="A28" s="560" t="s">
        <v>100</v>
      </c>
      <c r="B28" s="148"/>
      <c r="C28" s="148"/>
      <c r="D28" s="148"/>
      <c r="E28" s="772">
        <f>IF(E4&gt;'Project Assumptions'!$F$39,0,E29-E27)</f>
        <v>5556.9237945200348</v>
      </c>
      <c r="F28" s="772">
        <f>IF(F4&gt;'Project Assumptions'!$F$39,0,F29-F27)</f>
        <v>10024.852101959197</v>
      </c>
      <c r="G28" s="772">
        <f>IF(G4&gt;'Project Assumptions'!$F$39,0,G29-G27)</f>
        <v>10647.966273191514</v>
      </c>
      <c r="H28" s="772">
        <f>IF(H4&gt;'Project Assumptions'!$F$39,0,H29-H27)</f>
        <v>15137.539491250629</v>
      </c>
      <c r="I28" s="772">
        <f>IF(I4&gt;'Project Assumptions'!$F$39,0,I29-I27)</f>
        <v>0</v>
      </c>
      <c r="J28" s="772">
        <f>IF(J4&gt;'Project Assumptions'!$F$39,0,J29-J27)</f>
        <v>0</v>
      </c>
      <c r="K28" s="772">
        <f>IF(K4&gt;'Project Assumptions'!$F$39,0,K29-K27)</f>
        <v>0</v>
      </c>
      <c r="L28" s="772">
        <f>IF(L4&gt;'Project Assumptions'!$F$39,0,L29-L27)</f>
        <v>0</v>
      </c>
      <c r="M28" s="772">
        <f>IF(M4&gt;'Project Assumptions'!$F$39,0,M29-M27)</f>
        <v>0</v>
      </c>
      <c r="N28" s="772">
        <f>IF(N4&gt;'Project Assumptions'!$F$39,0,N29-N27)</f>
        <v>0</v>
      </c>
      <c r="O28" s="772">
        <f>IF(O4&gt;'Project Assumptions'!$F$39,0,O29-O27)</f>
        <v>0</v>
      </c>
      <c r="P28" s="772">
        <f>IF(P4&gt;'Project Assumptions'!$F$39,0,P29-P27)</f>
        <v>0</v>
      </c>
      <c r="Q28" s="772">
        <f>IF(Q4&gt;'Project Assumptions'!$F$39,0,Q29-Q27)</f>
        <v>0</v>
      </c>
      <c r="R28" s="772">
        <f>IF(R4&gt;'Project Assumptions'!$F$39,0,R29-R27)</f>
        <v>0</v>
      </c>
      <c r="S28" s="772">
        <f>IF(S4&gt;'Project Assumptions'!$F$39,0,S29-S27)</f>
        <v>0</v>
      </c>
      <c r="T28" s="772">
        <f>IF(T4&gt;'Project Assumptions'!$F$39,0,T29-T27)</f>
        <v>0</v>
      </c>
      <c r="U28" s="772">
        <f>IF(U4&gt;'Project Assumptions'!$F$39,0,U29-U27)</f>
        <v>0</v>
      </c>
      <c r="V28" s="772">
        <f>IF(V4&gt;'Project Assumptions'!$F$39,0,V29-V27)</f>
        <v>0</v>
      </c>
      <c r="W28" s="772">
        <f>IF(W4&gt;'Project Assumptions'!$F$39,0,W29-W27)</f>
        <v>0</v>
      </c>
      <c r="X28" s="772">
        <f>IF(X4&gt;'Project Assumptions'!$F$39,0,X29-X27)</f>
        <v>0</v>
      </c>
      <c r="Y28" s="772">
        <f>IF(Y4&gt;'Project Assumptions'!$F$39,0,Y29-Y27)</f>
        <v>0</v>
      </c>
      <c r="Z28" s="772">
        <f>IF(Z4&gt;'Project Assumptions'!$F$39,0,Z29-Z27)</f>
        <v>0</v>
      </c>
      <c r="AA28" s="772">
        <f>IF(AA4&gt;'Project Assumptions'!$F$39,0,AA29-AA27)</f>
        <v>0</v>
      </c>
      <c r="AB28" s="772">
        <f>IF(AB4&gt;'Project Assumptions'!$F$39,0,AB29-AB27)</f>
        <v>0</v>
      </c>
      <c r="AC28" s="773">
        <f>IF(AC4&gt;'Project Assumptions'!$F$39,0,AC29-AC27)</f>
        <v>0</v>
      </c>
      <c r="AD28" s="247"/>
      <c r="AE28" s="247"/>
      <c r="AF28" s="247"/>
      <c r="AG28" s="247"/>
      <c r="AH28" s="247"/>
      <c r="AI28" s="247"/>
    </row>
    <row r="29" spans="1:35" s="49" customFormat="1">
      <c r="A29" s="560" t="s">
        <v>101</v>
      </c>
      <c r="B29" s="148"/>
      <c r="C29" s="148"/>
      <c r="D29" s="148"/>
      <c r="E29" s="772">
        <f>IF(E4&gt;'Project Assumptions'!$F$39,0,E19)</f>
        <v>7179.7277813432629</v>
      </c>
      <c r="F29" s="772">
        <f>IF(F4&gt;'Project Assumptions'!$F$39,0,F19)</f>
        <v>12433.098668474688</v>
      </c>
      <c r="G29" s="772">
        <f>IF(G4&gt;'Project Assumptions'!$F$39,0,G19)</f>
        <v>12382.041535850249</v>
      </c>
      <c r="H29" s="772">
        <f>IF(H4&gt;'Project Assumptions'!$F$39,0,H19)</f>
        <v>16155.539022037234</v>
      </c>
      <c r="I29" s="772">
        <f>IF(I4&gt;'Project Assumptions'!$F$39,0,I19)</f>
        <v>0</v>
      </c>
      <c r="J29" s="772">
        <f>IF(J4&gt;'Project Assumptions'!$F$39,0,J19)</f>
        <v>0</v>
      </c>
      <c r="K29" s="772">
        <f>IF(K4&gt;'Project Assumptions'!$F$39,0,K19)</f>
        <v>0</v>
      </c>
      <c r="L29" s="772">
        <f>IF(L4&gt;'Project Assumptions'!$F$39,0,L19)</f>
        <v>0</v>
      </c>
      <c r="M29" s="772">
        <f>IF(M4&gt;'Project Assumptions'!$F$39,0,M19)</f>
        <v>0</v>
      </c>
      <c r="N29" s="772">
        <f>IF(N4&gt;'Project Assumptions'!$F$39,0,N19)</f>
        <v>0</v>
      </c>
      <c r="O29" s="772">
        <f>IF(O4&gt;'Project Assumptions'!$F$39,0,O19)</f>
        <v>0</v>
      </c>
      <c r="P29" s="772">
        <f>IF(P4&gt;'Project Assumptions'!$F$39,0,P19)</f>
        <v>0</v>
      </c>
      <c r="Q29" s="772">
        <f>IF(Q4&gt;'Project Assumptions'!$F$39,0,Q19)</f>
        <v>0</v>
      </c>
      <c r="R29" s="772">
        <f>IF(R4&gt;'Project Assumptions'!$F$39,0,R19)</f>
        <v>0</v>
      </c>
      <c r="S29" s="772">
        <f>IF(S4&gt;'Project Assumptions'!$F$39,0,S19)</f>
        <v>0</v>
      </c>
      <c r="T29" s="772">
        <f>IF(T4&gt;'Project Assumptions'!$F$39,0,T19)</f>
        <v>0</v>
      </c>
      <c r="U29" s="772">
        <f>IF(U4&gt;'Project Assumptions'!$F$39,0,U19)</f>
        <v>0</v>
      </c>
      <c r="V29" s="772">
        <f>IF(V4&gt;'Project Assumptions'!$F$39,0,V19)</f>
        <v>0</v>
      </c>
      <c r="W29" s="772">
        <f>IF(W4&gt;'Project Assumptions'!$F$39,0,W19)</f>
        <v>0</v>
      </c>
      <c r="X29" s="772">
        <f>IF(X4&gt;'Project Assumptions'!$F$39,0,X19)</f>
        <v>0</v>
      </c>
      <c r="Y29" s="772">
        <f>IF(Y4&gt;'Project Assumptions'!$F$39,0,Y19)</f>
        <v>0</v>
      </c>
      <c r="Z29" s="772">
        <f>IF(Z4&gt;'Project Assumptions'!$F$39,0,Z19)</f>
        <v>0</v>
      </c>
      <c r="AA29" s="772">
        <f>IF(AA4&gt;'Project Assumptions'!$F$39,0,AA19)</f>
        <v>0</v>
      </c>
      <c r="AB29" s="772">
        <f>IF(AB4&gt;'Project Assumptions'!$F$39,0,AB19)</f>
        <v>0</v>
      </c>
      <c r="AC29" s="773">
        <f>IF(AC4&gt;'Project Assumptions'!$F$39,0,AC19)</f>
        <v>0</v>
      </c>
      <c r="AD29" s="247"/>
      <c r="AE29" s="247"/>
      <c r="AF29" s="247"/>
      <c r="AG29" s="247"/>
      <c r="AH29" s="247"/>
      <c r="AI29" s="247"/>
    </row>
    <row r="30" spans="1:35" s="49" customFormat="1">
      <c r="A30" s="560" t="s">
        <v>102</v>
      </c>
      <c r="B30" s="148"/>
      <c r="C30" s="148"/>
      <c r="D30" s="148"/>
      <c r="E30" s="733">
        <f>IF(E4&lt;'Project Assumptions'!$F$39,E26-E28,IF(AND(E4='Project Assumptions'!$F$39,E26-E28&gt;1),"ERROR",IF(E4&gt;'Project Assumptions'!$F$39,0,E26-E28)))</f>
        <v>35810.35786640134</v>
      </c>
      <c r="F30" s="733">
        <f>IF(F4&lt;'Project Assumptions'!$F$39,F26-F28,IF(AND(F4='Project Assumptions'!$F$39,F26-F28&gt;1),"ERROR",IF(F4&gt;'Project Assumptions'!$F$39,0,F26-F28)))</f>
        <v>25785.505764442143</v>
      </c>
      <c r="G30" s="733">
        <f>IF(G4&lt;'Project Assumptions'!$F$39,G26-G28,IF(AND(G4='Project Assumptions'!$F$39,G26-G28&gt;1),"ERROR",IF(G4&gt;'Project Assumptions'!$F$39,0,G26-G28)))</f>
        <v>15137.539491250629</v>
      </c>
      <c r="H30" s="733">
        <f>IF(H4&lt;'Project Assumptions'!$F$39,H26-H28,IF(AND(H4='Project Assumptions'!$F$39,H26-H28&gt;1),"ERROR",IF(H4&gt;'Project Assumptions'!$F$39,0,H26-H28)))</f>
        <v>0</v>
      </c>
      <c r="I30" s="733">
        <f>IF(I4&lt;'Project Assumptions'!$F$39,I26-I28,IF(AND(I4='Project Assumptions'!$F$39,I26-I28&gt;1),"ERROR",IF(I4&gt;'Project Assumptions'!$F$39,0,I26-I28)))</f>
        <v>0</v>
      </c>
      <c r="J30" s="733">
        <f>IF(J4&lt;'Project Assumptions'!$F$39,J26-J28,IF(AND(J4='Project Assumptions'!$F$39,J26-J28&gt;1),"ERROR",IF(J4&gt;'Project Assumptions'!$F$39,0,J26-J28)))</f>
        <v>0</v>
      </c>
      <c r="K30" s="733">
        <f>IF(K4&lt;'Project Assumptions'!$F$39,K26-K28,IF(AND(K4='Project Assumptions'!$F$39,K26-K28&gt;1),"ERROR",IF(K4&gt;'Project Assumptions'!$F$39,0,K26-K28)))</f>
        <v>0</v>
      </c>
      <c r="L30" s="733">
        <f>IF(L4&lt;'Project Assumptions'!$F$39,L26-L28,IF(AND(L4='Project Assumptions'!$F$39,L26-L28&gt;1),"ERROR",IF(L4&gt;'Project Assumptions'!$F$39,0,L26-L28)))</f>
        <v>0</v>
      </c>
      <c r="M30" s="733">
        <f>IF(M4&lt;'Project Assumptions'!$F$39,M26-M28,IF(AND(M4='Project Assumptions'!$F$39,M26-M28&gt;1),"ERROR",IF(M4&gt;'Project Assumptions'!$F$39,0,M26-M28)))</f>
        <v>0</v>
      </c>
      <c r="N30" s="733">
        <f>IF(N4&lt;'Project Assumptions'!$F$39,N26-N28,IF(AND(N4='Project Assumptions'!$F$39,N26-N28&gt;1),"ERROR",IF(N4&gt;'Project Assumptions'!$F$39,0,N26-N28)))</f>
        <v>0</v>
      </c>
      <c r="O30" s="733">
        <f>IF(O4&lt;'Project Assumptions'!$F$39,O26-O28,IF(AND(O4='Project Assumptions'!$F$39,O26-O28&gt;1),"ERROR",IF(O4&gt;'Project Assumptions'!$F$39,0,O26-O28)))</f>
        <v>0</v>
      </c>
      <c r="P30" s="733">
        <f>IF(P4&lt;'Project Assumptions'!$F$39,P26-P28,IF(AND(P4='Project Assumptions'!$F$39,P26-P28&gt;1),"ERROR",IF(P4&gt;'Project Assumptions'!$F$39,0,P26-P28)))</f>
        <v>0</v>
      </c>
      <c r="Q30" s="733">
        <f>IF(Q4&lt;'Project Assumptions'!$F$39,Q26-Q28,IF(AND(Q4='Project Assumptions'!$F$39,Q26-Q28&gt;1),"ERROR",IF(Q4&gt;'Project Assumptions'!$F$39,0,Q26-Q28)))</f>
        <v>0</v>
      </c>
      <c r="R30" s="733">
        <f>IF(R4&lt;'Project Assumptions'!$F$39,R26-R28,IF(AND(R4='Project Assumptions'!$F$39,R26-R28&gt;1),"ERROR",IF(R4&gt;'Project Assumptions'!$F$39,0,R26-R28)))</f>
        <v>0</v>
      </c>
      <c r="S30" s="733">
        <f>IF(S4&lt;'Project Assumptions'!$F$39,S26-S28,IF(AND(S4='Project Assumptions'!$F$39,S26-S28&gt;1),"ERROR",IF(S4&gt;'Project Assumptions'!$F$39,0,S26-S28)))</f>
        <v>0</v>
      </c>
      <c r="T30" s="733">
        <f>IF(T4&lt;'Project Assumptions'!$F$39,T26-T28,IF(AND(T4='Project Assumptions'!$F$39,T26-T28&gt;1),"ERROR",IF(T4&gt;'Project Assumptions'!$F$39,0,T26-T28)))</f>
        <v>0</v>
      </c>
      <c r="U30" s="733">
        <f>IF(U4&lt;'Project Assumptions'!$F$39,U26-U28,IF(AND(U4='Project Assumptions'!$F$39,U26-U28&gt;1),"ERROR",IF(U4&gt;'Project Assumptions'!$F$39,0,U26-U28)))</f>
        <v>0</v>
      </c>
      <c r="V30" s="733">
        <f>IF(V4&lt;'Project Assumptions'!$F$39,V26-V28,IF(AND(V4='Project Assumptions'!$F$39,V26-V28&gt;1),"ERROR",IF(V4&gt;'Project Assumptions'!$F$39,0,V26-V28)))</f>
        <v>0</v>
      </c>
      <c r="W30" s="733">
        <f>IF(W4&lt;'Project Assumptions'!$F$39,W26-W28,IF(AND(W4='Project Assumptions'!$F$39,W26-W28&gt;1),"ERROR",IF(W4&gt;'Project Assumptions'!$F$39,0,W26-W28)))</f>
        <v>0</v>
      </c>
      <c r="X30" s="733">
        <f>IF(X4&lt;'Project Assumptions'!$F$39,X26-X28,IF(AND(X4='Project Assumptions'!$F$39,X26-X28&gt;1),"ERROR",IF(X4&gt;'Project Assumptions'!$F$39,0,X26-X28)))</f>
        <v>0</v>
      </c>
      <c r="Y30" s="733">
        <f>IF(Y4&lt;'Project Assumptions'!$F$39,Y26-Y28,IF(AND(Y4='Project Assumptions'!$F$39,Y26-Y28&gt;1),"ERROR",IF(Y4&gt;'Project Assumptions'!$F$39,0,Y26-Y28)))</f>
        <v>0</v>
      </c>
      <c r="Z30" s="733">
        <f>IF(Z4&lt;'Project Assumptions'!$F$39,Z26-Z28,IF(AND(Z4='Project Assumptions'!$F$39,Z26-Z28&gt;1),"ERROR",IF(Z4&gt;'Project Assumptions'!$F$39,0,Z26-Z28)))</f>
        <v>0</v>
      </c>
      <c r="AA30" s="733">
        <f>IF(AA4&lt;'Project Assumptions'!$F$39,AA26-AA28,IF(AND(AA4='Project Assumptions'!$F$39,AA26-AA28&gt;1),"ERROR",IF(AA4&gt;'Project Assumptions'!$F$39,0,AA26-AA28)))</f>
        <v>0</v>
      </c>
      <c r="AB30" s="733">
        <f>IF(AB4&lt;'Project Assumptions'!$F$39,AB26-AB28,IF(AND(AB4='Project Assumptions'!$F$39,AB26-AB28&gt;1),"ERROR",IF(AB4&gt;'Project Assumptions'!$F$39,0,AB26-AB28)))</f>
        <v>0</v>
      </c>
      <c r="AC30" s="734">
        <f>IF(AC4&lt;'Project Assumptions'!$F$39,AC26-AC28,IF(AND(AC4='Project Assumptions'!$F$39,AC26-AC28&gt;1),"ERROR",IF(AC4&gt;'Project Assumptions'!$F$39,0,AC26-AC28)))</f>
        <v>0</v>
      </c>
      <c r="AD30" s="247"/>
      <c r="AE30" s="247"/>
      <c r="AF30" s="247"/>
      <c r="AG30" s="247"/>
      <c r="AH30" s="247"/>
      <c r="AI30" s="247"/>
    </row>
    <row r="31" spans="1:35" s="49" customFormat="1">
      <c r="A31" s="774" t="s">
        <v>212</v>
      </c>
      <c r="B31" s="551"/>
      <c r="C31" s="551"/>
      <c r="D31" s="551"/>
      <c r="E31" s="775">
        <f>SUMPRODUCT(E4:AC4,E28:AC28)/B19</f>
        <v>2.8549297909169171</v>
      </c>
      <c r="F31" s="776"/>
      <c r="G31" s="776"/>
      <c r="H31" s="776"/>
      <c r="I31" s="776"/>
      <c r="J31" s="776"/>
      <c r="K31" s="776"/>
      <c r="L31" s="776"/>
      <c r="M31" s="776"/>
      <c r="N31" s="776"/>
      <c r="O31" s="763"/>
      <c r="P31" s="776"/>
      <c r="Q31" s="776"/>
      <c r="R31" s="776"/>
      <c r="S31" s="776"/>
      <c r="T31" s="776"/>
      <c r="U31" s="776"/>
      <c r="V31" s="776"/>
      <c r="W31" s="776"/>
      <c r="X31" s="776"/>
      <c r="Y31" s="776"/>
      <c r="Z31" s="776"/>
      <c r="AA31" s="776"/>
      <c r="AB31" s="776"/>
      <c r="AC31" s="777"/>
      <c r="AD31" s="247"/>
      <c r="AE31" s="247"/>
      <c r="AF31" s="247"/>
      <c r="AG31" s="247"/>
      <c r="AH31" s="247"/>
      <c r="AI31" s="247"/>
    </row>
    <row r="32" spans="1:35" s="49" customFormat="1">
      <c r="A32" s="247"/>
      <c r="B32" s="247"/>
      <c r="C32" s="247"/>
      <c r="D32" s="722"/>
      <c r="E32" s="722"/>
      <c r="F32" s="722"/>
      <c r="G32" s="722"/>
      <c r="H32" s="722"/>
      <c r="I32" s="722"/>
      <c r="J32" s="722"/>
      <c r="K32" s="722"/>
      <c r="L32" s="722"/>
      <c r="M32" s="722"/>
      <c r="N32" s="722"/>
      <c r="O32" s="722"/>
      <c r="P32" s="722"/>
      <c r="Q32" s="722"/>
      <c r="R32" s="722"/>
      <c r="S32" s="722"/>
      <c r="T32" s="722"/>
      <c r="U32" s="722"/>
      <c r="V32" s="722"/>
      <c r="W32" s="722"/>
      <c r="X32" s="722"/>
      <c r="Y32" s="722"/>
      <c r="Z32" s="722"/>
      <c r="AA32" s="722"/>
      <c r="AB32" s="722"/>
      <c r="AC32" s="247"/>
      <c r="AD32" s="247"/>
      <c r="AE32" s="247"/>
      <c r="AF32" s="247"/>
      <c r="AG32" s="247"/>
      <c r="AH32" s="247"/>
      <c r="AI32" s="247"/>
    </row>
    <row r="33" spans="1:35" s="49" customFormat="1">
      <c r="A33" s="389" t="s">
        <v>112</v>
      </c>
      <c r="B33" s="768"/>
      <c r="C33" s="768"/>
      <c r="D33" s="769"/>
      <c r="E33" s="769"/>
      <c r="F33" s="769"/>
      <c r="G33" s="769"/>
      <c r="H33" s="769"/>
      <c r="I33" s="769"/>
      <c r="J33" s="769"/>
      <c r="K33" s="769"/>
      <c r="L33" s="769"/>
      <c r="M33" s="769"/>
      <c r="N33" s="769"/>
      <c r="O33" s="769"/>
      <c r="P33" s="769"/>
      <c r="Q33" s="769"/>
      <c r="R33" s="769"/>
      <c r="S33" s="769"/>
      <c r="T33" s="769"/>
      <c r="U33" s="769"/>
      <c r="V33" s="769"/>
      <c r="W33" s="769"/>
      <c r="X33" s="769"/>
      <c r="Y33" s="769"/>
      <c r="Z33" s="769"/>
      <c r="AA33" s="769"/>
      <c r="AB33" s="769"/>
      <c r="AC33" s="550"/>
      <c r="AD33" s="247"/>
      <c r="AE33" s="247"/>
      <c r="AF33" s="247"/>
      <c r="AG33" s="247"/>
      <c r="AH33" s="247"/>
      <c r="AI33" s="247"/>
    </row>
    <row r="34" spans="1:35" s="49" customFormat="1">
      <c r="A34" s="560" t="s">
        <v>98</v>
      </c>
      <c r="B34" s="770"/>
      <c r="C34" s="770"/>
      <c r="D34" s="148"/>
      <c r="E34" s="733">
        <f>B20</f>
        <v>59535.510897714543</v>
      </c>
      <c r="F34" s="733">
        <f>IF(F4&gt;'Project Assumptions'!$G$39,0,E38)</f>
        <v>59535.510897714543</v>
      </c>
      <c r="G34" s="733">
        <f>IF(G4&gt;'Project Assumptions'!$G$39,0,F38)</f>
        <v>59535.510897714543</v>
      </c>
      <c r="H34" s="733">
        <f>IF(H4&gt;'Project Assumptions'!$G$39,0,G38)</f>
        <v>59535.510897714543</v>
      </c>
      <c r="I34" s="733">
        <f>IF(I4&gt;'Project Assumptions'!$G$39,0,H38)</f>
        <v>59535.510897714543</v>
      </c>
      <c r="J34" s="733">
        <f>IF(J4&gt;'Project Assumptions'!$G$39,0,I38)</f>
        <v>51752.416938117087</v>
      </c>
      <c r="K34" s="733">
        <f>IF(K4&gt;'Project Assumptions'!$G$39,0,J38)</f>
        <v>43261.560913154717</v>
      </c>
      <c r="L34" s="733">
        <f>IF(L4&gt;'Project Assumptions'!$G$39,0,K38)</f>
        <v>34013.395148039184</v>
      </c>
      <c r="M34" s="733">
        <f>IF(M4&gt;'Project Assumptions'!$G$39,0,L38)</f>
        <v>23686.655063511404</v>
      </c>
      <c r="N34" s="733">
        <f>IF(N4&gt;'Project Assumptions'!$G$39,0,M38)</f>
        <v>12464.702042351491</v>
      </c>
      <c r="O34" s="733">
        <f>IF(O4&gt;'Project Assumptions'!$G$39,0,N38)</f>
        <v>0</v>
      </c>
      <c r="P34" s="733">
        <f>IF(P4&gt;'Project Assumptions'!$G$39,0,O38)</f>
        <v>0</v>
      </c>
      <c r="Q34" s="733">
        <f>IF(Q4&gt;'Project Assumptions'!$G$39,0,P38)</f>
        <v>0</v>
      </c>
      <c r="R34" s="733">
        <f>IF(R4&gt;'Project Assumptions'!$G$39,0,Q38)</f>
        <v>0</v>
      </c>
      <c r="S34" s="733">
        <f>IF(S4&gt;'Project Assumptions'!$G$39,0,R38)</f>
        <v>0</v>
      </c>
      <c r="T34" s="733">
        <f>IF(T4&gt;'Project Assumptions'!$G$39,0,S38)</f>
        <v>0</v>
      </c>
      <c r="U34" s="733">
        <f>IF(U4&gt;'Project Assumptions'!$G$39,0,T38)</f>
        <v>0</v>
      </c>
      <c r="V34" s="733">
        <f>IF(V4&gt;'Project Assumptions'!$G$39,0,U38)</f>
        <v>0</v>
      </c>
      <c r="W34" s="733">
        <f>IF(W4&gt;'Project Assumptions'!$G$39,0,V38)</f>
        <v>0</v>
      </c>
      <c r="X34" s="733">
        <f>IF(X4&gt;'Project Assumptions'!$G$39,0,W38)</f>
        <v>0</v>
      </c>
      <c r="Y34" s="733">
        <f>IF(Y4&gt;'Project Assumptions'!$G$39,0,X38)</f>
        <v>0</v>
      </c>
      <c r="Z34" s="733">
        <f>IF(Z4&gt;'Project Assumptions'!$G$39,0,Y38)</f>
        <v>0</v>
      </c>
      <c r="AA34" s="733">
        <f>IF(AA4&gt;'Project Assumptions'!$G$39,0,Z38)</f>
        <v>0</v>
      </c>
      <c r="AB34" s="733">
        <f>IF(AB4&gt;'Project Assumptions'!$G$39,0,AA38)</f>
        <v>0</v>
      </c>
      <c r="AC34" s="734">
        <f>IF(AC4&gt;'Project Assumptions'!$G$39,0,AB38)</f>
        <v>0</v>
      </c>
      <c r="AD34" s="247"/>
      <c r="AE34" s="247"/>
      <c r="AF34" s="247"/>
      <c r="AG34" s="247"/>
      <c r="AH34" s="247"/>
      <c r="AI34" s="247"/>
    </row>
    <row r="35" spans="1:35" s="49" customFormat="1">
      <c r="A35" s="560" t="s">
        <v>99</v>
      </c>
      <c r="B35" s="771"/>
      <c r="C35" s="771"/>
      <c r="D35" s="148"/>
      <c r="E35" s="772">
        <f>IF(E4&gt;'Project Assumptions'!$F$39,E34*E13,IF(AND(E4&lt;='Project Assumptions'!$F$39,'Project Assumptions'!$G$42="Interest Only"),E34*E13*(13-MONTH('Project Assumptions'!G16))/12,0))</f>
        <v>2628.9889353915783</v>
      </c>
      <c r="F35" s="772">
        <f>IF(F4&gt;'Project Assumptions'!$F$39,F34*F13,IF(AND(F4&lt;='Project Assumptions'!$F$39,'Project Assumptions'!$G$42="Interest Only"),F34*F13,0))</f>
        <v>4506.8381749569908</v>
      </c>
      <c r="G35" s="772">
        <f>IF(G4&gt;'Project Assumptions'!$F$39,G34*G13,IF(AND(G4&lt;='Project Assumptions'!$F$39,'Project Assumptions'!$G$42="Interest Only"),G34*G13,0))</f>
        <v>4506.8381749569908</v>
      </c>
      <c r="H35" s="772">
        <f>IF(H4&gt;'Project Assumptions'!$F$39,H34*H13,IF(AND(H4&lt;='Project Assumptions'!$F$39,'Project Assumptions'!$G$42="Interest Only"),H34*H13,0))</f>
        <v>4506.8381749569908</v>
      </c>
      <c r="I35" s="772">
        <f>IF(I4&gt;'Project Assumptions'!$F$39,I34*I13,IF(AND(I4&lt;='Project Assumptions'!$F$39,'Project Assumptions'!$G$42="Interest Only"),I34*I13,0))</f>
        <v>4506.8381749569908</v>
      </c>
      <c r="J35" s="772">
        <f>IF(J4&gt;'Project Assumptions'!$F$39,J34*J13,IF(AND(J4&lt;='Project Assumptions'!$F$39,'Project Assumptions'!$G$42="Interest Only"),J34*J13,0))</f>
        <v>3917.6579622154636</v>
      </c>
      <c r="K35" s="772">
        <f>IF(K4&gt;'Project Assumptions'!$F$39,K34*K13,IF(AND(K4&lt;='Project Assumptions'!$F$39,'Project Assumptions'!$G$42="Interest Only"),K34*K13,0))</f>
        <v>3274.9001611258122</v>
      </c>
      <c r="L35" s="772">
        <f>IF(L4&gt;'Project Assumptions'!$F$39,L34*L13,IF(AND(L4&lt;='Project Assumptions'!$F$39,'Project Assumptions'!$G$42="Interest Only"),L34*L13,0))</f>
        <v>2574.8140127065662</v>
      </c>
      <c r="M35" s="772">
        <f>IF(M4&gt;'Project Assumptions'!$F$39,M34*M13,IF(AND(M4&lt;='Project Assumptions'!$F$39,'Project Assumptions'!$G$42="Interest Only"),M34*M13,0))</f>
        <v>1793.0797883078133</v>
      </c>
      <c r="N35" s="772">
        <f>IF(N4&gt;'Project Assumptions'!$F$39,N34*N13,IF(AND(N4&lt;='Project Assumptions'!$F$39,'Project Assumptions'!$G$42="Interest Only"),N34*N13,0))</f>
        <v>943.57794460600792</v>
      </c>
      <c r="O35" s="772">
        <f>IF(O4&gt;'Project Assumptions'!$F$39,O34*O13,IF(AND(O4&lt;='Project Assumptions'!$F$39,'Project Assumptions'!$G$42="Interest Only"),O34*O13,0))</f>
        <v>0</v>
      </c>
      <c r="P35" s="772">
        <f>IF(P4&gt;'Project Assumptions'!$F$39,P34*P13,IF(AND(P4&lt;='Project Assumptions'!$F$39,'Project Assumptions'!$G$42="Interest Only"),P34*P13,0))</f>
        <v>0</v>
      </c>
      <c r="Q35" s="772">
        <f>IF(Q4&gt;'Project Assumptions'!$F$39,Q34*Q13,IF(AND(Q4&lt;='Project Assumptions'!$F$39,'Project Assumptions'!$G$42="Interest Only"),Q34*Q13,0))</f>
        <v>0</v>
      </c>
      <c r="R35" s="772">
        <f>IF(R4&gt;'Project Assumptions'!$F$39,R34*R13,IF(AND(R4&lt;='Project Assumptions'!$F$39,'Project Assumptions'!$G$42="Interest Only"),R34*R13,0))</f>
        <v>0</v>
      </c>
      <c r="S35" s="772">
        <f>IF(S4&gt;'Project Assumptions'!$F$39,S34*S13,IF(AND(S4&lt;='Project Assumptions'!$F$39,'Project Assumptions'!$G$42="Interest Only"),S34*S13,0))</f>
        <v>0</v>
      </c>
      <c r="T35" s="772">
        <f>IF(T4&gt;'Project Assumptions'!$F$39,T34*T13,IF(AND(T4&lt;='Project Assumptions'!$F$39,'Project Assumptions'!$G$42="Interest Only"),T34*T13,0))</f>
        <v>0</v>
      </c>
      <c r="U35" s="772">
        <f>IF(U4&gt;'Project Assumptions'!$F$39,U34*U13,IF(AND(U4&lt;='Project Assumptions'!$F$39,'Project Assumptions'!$G$42="Interest Only"),U34*U13,0))</f>
        <v>0</v>
      </c>
      <c r="V35" s="772">
        <f>IF(V4&gt;'Project Assumptions'!$F$39,V34*V13,IF(AND(V4&lt;='Project Assumptions'!$F$39,'Project Assumptions'!$G$42="Interest Only"),V34*V13,0))</f>
        <v>0</v>
      </c>
      <c r="W35" s="772">
        <f>IF(W4&gt;'Project Assumptions'!$F$39,W34*W13,IF(AND(W4&lt;='Project Assumptions'!$F$39,'Project Assumptions'!$G$42="Interest Only"),W34*W13,0))</f>
        <v>0</v>
      </c>
      <c r="X35" s="772">
        <f>IF(X4&gt;'Project Assumptions'!$F$39,X34*X13,IF(AND(X4&lt;='Project Assumptions'!$F$39,'Project Assumptions'!$G$42="Interest Only"),X34*X13,0))</f>
        <v>0</v>
      </c>
      <c r="Y35" s="772">
        <f>IF(Y4&gt;'Project Assumptions'!$F$39,Y34*Y13,IF(AND(Y4&lt;='Project Assumptions'!$F$39,'Project Assumptions'!$G$42="Interest Only"),Y34*Y13,0))</f>
        <v>0</v>
      </c>
      <c r="Z35" s="772">
        <f>IF(Z4&gt;'Project Assumptions'!$F$39,Z34*Z13,IF(AND(Z4&lt;='Project Assumptions'!$F$39,'Project Assumptions'!$G$42="Interest Only"),Z34*Z13,0))</f>
        <v>0</v>
      </c>
      <c r="AA35" s="772">
        <f>IF(AA4&gt;'Project Assumptions'!$F$39,AA34*AA13,IF(AND(AA4&lt;='Project Assumptions'!$F$39,'Project Assumptions'!$G$42="Interest Only"),AA34*AA13,0))</f>
        <v>0</v>
      </c>
      <c r="AB35" s="772">
        <f>IF(AB4&gt;'Project Assumptions'!$F$39,AB34*AB13,IF(AND(AB4&lt;='Project Assumptions'!$F$39,'Project Assumptions'!$G$42="Interest Only"),AB34*AB13,0))</f>
        <v>0</v>
      </c>
      <c r="AC35" s="773">
        <f>IF(AC4&gt;'Project Assumptions'!$F$39,AC34*AC13,IF(AND(AC4&lt;='Project Assumptions'!$F$39,'Project Assumptions'!$G$42="Interest Only"),AC34*AC13,0))</f>
        <v>0</v>
      </c>
      <c r="AD35" s="247"/>
      <c r="AE35" s="247"/>
      <c r="AF35" s="247"/>
      <c r="AG35" s="247"/>
      <c r="AH35" s="247"/>
      <c r="AI35" s="247"/>
    </row>
    <row r="36" spans="1:35" s="49" customFormat="1">
      <c r="A36" s="560" t="s">
        <v>100</v>
      </c>
      <c r="B36" s="778"/>
      <c r="C36" s="778"/>
      <c r="D36" s="148"/>
      <c r="E36" s="772">
        <f>IF(OR(E4&lt;='Project Assumptions'!$F$39,E4&gt;'Project Assumptions'!$G$39),0,E37-E35)</f>
        <v>0</v>
      </c>
      <c r="F36" s="772">
        <f>IF(OR(F4&lt;='Project Assumptions'!$F$39,F4&gt;'Project Assumptions'!$G$39),0,F37-F35)</f>
        <v>0</v>
      </c>
      <c r="G36" s="772">
        <f>IF(OR(G4&lt;='Project Assumptions'!$F$39,G4&gt;'Project Assumptions'!$G$39),0,G37-G35)</f>
        <v>0</v>
      </c>
      <c r="H36" s="772">
        <f>IF(OR(H4&lt;='Project Assumptions'!$F$39,H4&gt;'Project Assumptions'!$G$39),0,H37-H35)</f>
        <v>0</v>
      </c>
      <c r="I36" s="772">
        <f>IF(OR(I4&lt;='Project Assumptions'!$F$39,I4&gt;'Project Assumptions'!$G$39),0,I37-I35)</f>
        <v>7783.0939595974578</v>
      </c>
      <c r="J36" s="772">
        <f>IF(OR(J4&lt;='Project Assumptions'!$F$39,J4&gt;'Project Assumptions'!$G$39),0,J37-J35)</f>
        <v>8490.8560249623679</v>
      </c>
      <c r="K36" s="772">
        <f>IF(OR(K4&lt;='Project Assumptions'!$F$39,K4&gt;'Project Assumptions'!$G$39),0,K37-K35)</f>
        <v>9248.1657651155365</v>
      </c>
      <c r="L36" s="772">
        <f>IF(OR(L4&lt;='Project Assumptions'!$F$39,L4&gt;'Project Assumptions'!$G$39),0,L37-L35)</f>
        <v>10326.740084527781</v>
      </c>
      <c r="M36" s="772">
        <f>IF(OR(M4&lt;='Project Assumptions'!$F$39,M4&gt;'Project Assumptions'!$G$39),0,M37-M35)</f>
        <v>11221.953021159912</v>
      </c>
      <c r="N36" s="772">
        <f>IF(OR(N4&lt;='Project Assumptions'!$F$39,N4&gt;'Project Assumptions'!$G$39),0,N37-N35)</f>
        <v>12464.702042351506</v>
      </c>
      <c r="O36" s="772">
        <f>IF(OR(O4&lt;='Project Assumptions'!$F$39,O4&gt;'Project Assumptions'!$G$39),0,O37-O35)</f>
        <v>0</v>
      </c>
      <c r="P36" s="772">
        <f>IF(OR(P4&lt;='Project Assumptions'!$F$39,P4&gt;'Project Assumptions'!$G$39),0,P37-P35)</f>
        <v>0</v>
      </c>
      <c r="Q36" s="772">
        <f>IF(OR(Q4&lt;='Project Assumptions'!$F$39,Q4&gt;'Project Assumptions'!$G$39),0,Q37-Q35)</f>
        <v>0</v>
      </c>
      <c r="R36" s="772">
        <f>IF(OR(R4&lt;='Project Assumptions'!$F$39,R4&gt;'Project Assumptions'!$G$39),0,R37-R35)</f>
        <v>0</v>
      </c>
      <c r="S36" s="772">
        <f>IF(OR(S4&lt;='Project Assumptions'!$F$39,S4&gt;'Project Assumptions'!$G$39),0,S37-S35)</f>
        <v>0</v>
      </c>
      <c r="T36" s="772">
        <f>IF(OR(T4&lt;='Project Assumptions'!$F$39,T4&gt;'Project Assumptions'!$G$39),0,T37-T35)</f>
        <v>0</v>
      </c>
      <c r="U36" s="772">
        <f>IF(OR(U4&lt;='Project Assumptions'!$F$39,U4&gt;'Project Assumptions'!$G$39),0,U37-U35)</f>
        <v>0</v>
      </c>
      <c r="V36" s="772">
        <f>IF(OR(V4&lt;='Project Assumptions'!$F$39,V4&gt;'Project Assumptions'!$G$39),0,V37-V35)</f>
        <v>0</v>
      </c>
      <c r="W36" s="772">
        <f>IF(OR(W4&lt;='Project Assumptions'!$F$39,W4&gt;'Project Assumptions'!$G$39),0,W37-W35)</f>
        <v>0</v>
      </c>
      <c r="X36" s="772">
        <f>IF(OR(X4&lt;='Project Assumptions'!$F$39,X4&gt;'Project Assumptions'!$G$39),0,X37-X35)</f>
        <v>0</v>
      </c>
      <c r="Y36" s="772">
        <f>IF(OR(Y4&lt;='Project Assumptions'!$F$39,Y4&gt;'Project Assumptions'!$G$39),0,Y37-Y35)</f>
        <v>0</v>
      </c>
      <c r="Z36" s="772">
        <f>IF(OR(Z4&lt;='Project Assumptions'!$F$39,Z4&gt;'Project Assumptions'!$G$39),0,Z37-Z35)</f>
        <v>0</v>
      </c>
      <c r="AA36" s="772">
        <f>IF(OR(AA4&lt;='Project Assumptions'!$F$39,AA4&gt;'Project Assumptions'!$G$39),0,AA37-AA35)</f>
        <v>0</v>
      </c>
      <c r="AB36" s="772">
        <f>IF(OR(AB4&lt;='Project Assumptions'!$F$39,AB4&gt;'Project Assumptions'!$G$39),0,AB37-AB35)</f>
        <v>0</v>
      </c>
      <c r="AC36" s="773">
        <f>IF(OR(AC4&lt;='Project Assumptions'!$F$39,AC4&gt;'Project Assumptions'!$G$39),0,AC37-AC35)</f>
        <v>0</v>
      </c>
      <c r="AD36" s="247"/>
      <c r="AE36" s="247"/>
      <c r="AF36" s="247"/>
      <c r="AG36" s="247"/>
      <c r="AH36" s="247"/>
      <c r="AI36" s="247"/>
    </row>
    <row r="37" spans="1:35" s="48" customFormat="1">
      <c r="A37" s="737" t="s">
        <v>101</v>
      </c>
      <c r="B37" s="738"/>
      <c r="C37" s="738"/>
      <c r="D37" s="738"/>
      <c r="E37" s="755">
        <f>IF(E4&lt;='Project Assumptions'!$F$39,E35,E20)</f>
        <v>2628.9889353915783</v>
      </c>
      <c r="F37" s="755">
        <f>IF(F4&lt;='Project Assumptions'!$F$39,F35,F20)</f>
        <v>4506.8381749569908</v>
      </c>
      <c r="G37" s="755">
        <f>IF(G4&lt;='Project Assumptions'!$F$39,G35,G20)</f>
        <v>4506.8381749569908</v>
      </c>
      <c r="H37" s="755">
        <f>IF(H4&lt;='Project Assumptions'!$F$39,H35,H20)</f>
        <v>4506.8381749569908</v>
      </c>
      <c r="I37" s="755">
        <f>IF(I4&lt;='Project Assumptions'!$F$39,I35,I20)</f>
        <v>12289.932134554449</v>
      </c>
      <c r="J37" s="755">
        <f>IF(J4&lt;='Project Assumptions'!$F$39,J35,J20)</f>
        <v>12408.513987177832</v>
      </c>
      <c r="K37" s="755">
        <f>IF(K4&lt;='Project Assumptions'!$F$39,K35,K20)</f>
        <v>12523.065926241348</v>
      </c>
      <c r="L37" s="755">
        <f>IF(L4&lt;='Project Assumptions'!$F$39,L35,L20)</f>
        <v>12901.554097234348</v>
      </c>
      <c r="M37" s="755">
        <f>IF(M4&lt;='Project Assumptions'!$F$39,M35,M20)</f>
        <v>13015.032809467726</v>
      </c>
      <c r="N37" s="755">
        <f>IF(N4&lt;='Project Assumptions'!$F$39,N35,N20)</f>
        <v>13408.279986957514</v>
      </c>
      <c r="O37" s="755">
        <f>IF(O4&lt;='Project Assumptions'!$F$39,O35,O20)</f>
        <v>0</v>
      </c>
      <c r="P37" s="755">
        <f>IF(P4&lt;='Project Assumptions'!$F$39,P35,P20)</f>
        <v>0</v>
      </c>
      <c r="Q37" s="755">
        <f>IF(Q4&lt;='Project Assumptions'!$F$39,Q35,Q20)</f>
        <v>0</v>
      </c>
      <c r="R37" s="755">
        <f>IF(R4&lt;='Project Assumptions'!$F$39,R35,R20)</f>
        <v>0</v>
      </c>
      <c r="S37" s="755">
        <f>IF(S4&lt;='Project Assumptions'!$F$39,S35,S20)</f>
        <v>0</v>
      </c>
      <c r="T37" s="755">
        <f>IF(T4&lt;='Project Assumptions'!$F$39,T35,T20)</f>
        <v>0</v>
      </c>
      <c r="U37" s="755">
        <f>IF(U4&lt;='Project Assumptions'!$F$39,U35,U20)</f>
        <v>0</v>
      </c>
      <c r="V37" s="755">
        <f>IF(V4&lt;='Project Assumptions'!$F$39,V35,V20)</f>
        <v>0</v>
      </c>
      <c r="W37" s="755">
        <f>IF(W4&lt;='Project Assumptions'!$F$39,W35,W20)</f>
        <v>0</v>
      </c>
      <c r="X37" s="755">
        <f>IF(X4&lt;='Project Assumptions'!$F$39,X35,X20)</f>
        <v>0</v>
      </c>
      <c r="Y37" s="755">
        <f>IF(Y4&lt;='Project Assumptions'!$F$39,Y35,Y20)</f>
        <v>0</v>
      </c>
      <c r="Z37" s="755">
        <f>IF(Z4&lt;='Project Assumptions'!$F$39,Z35,Z20)</f>
        <v>0</v>
      </c>
      <c r="AA37" s="755">
        <f>IF(AA4&lt;='Project Assumptions'!$F$39,AA35,AA20)</f>
        <v>0</v>
      </c>
      <c r="AB37" s="755">
        <f>IF(AB4&lt;='Project Assumptions'!$F$39,AB35,AB20)</f>
        <v>0</v>
      </c>
      <c r="AC37" s="756">
        <f>IF(AC4&lt;='Project Assumptions'!$F$39,AC35,AC20)</f>
        <v>0</v>
      </c>
      <c r="AD37" s="742"/>
      <c r="AE37" s="742"/>
      <c r="AF37" s="742"/>
      <c r="AG37" s="742"/>
      <c r="AH37" s="742"/>
      <c r="AI37" s="742"/>
    </row>
    <row r="38" spans="1:35" s="48" customFormat="1" ht="12.6" customHeight="1">
      <c r="A38" s="737" t="s">
        <v>102</v>
      </c>
      <c r="B38" s="710"/>
      <c r="C38" s="710"/>
      <c r="D38" s="738"/>
      <c r="E38" s="733">
        <f>IF(E4&lt;'Project Assumptions'!$G$39,E34-E36,IF(E4&gt;'Project Assumptions'!$G$39,0,E34-E36))</f>
        <v>59535.510897714543</v>
      </c>
      <c r="F38" s="733">
        <f>IF(F4&lt;'Project Assumptions'!$G$39,F34-F36,IF(F4&gt;'Project Assumptions'!$G$39,0,F34-F36))</f>
        <v>59535.510897714543</v>
      </c>
      <c r="G38" s="733">
        <f>IF(G4&lt;'Project Assumptions'!$G$39,G34-G36,IF(G4&gt;'Project Assumptions'!$G$39,0,G34-G36))</f>
        <v>59535.510897714543</v>
      </c>
      <c r="H38" s="733">
        <f>IF(H4&lt;'Project Assumptions'!$G$39,H34-H36,IF(H4&gt;'Project Assumptions'!$G$39,0,H34-H36))</f>
        <v>59535.510897714543</v>
      </c>
      <c r="I38" s="733">
        <f>IF(I4&lt;'Project Assumptions'!$G$39,I34-I36,IF(I4&gt;'Project Assumptions'!$G$39,0,I34-I36))</f>
        <v>51752.416938117087</v>
      </c>
      <c r="J38" s="733">
        <f>IF(J4&lt;'Project Assumptions'!$G$39,J34-J36,IF(J4&gt;'Project Assumptions'!$G$39,0,J34-J36))</f>
        <v>43261.560913154717</v>
      </c>
      <c r="K38" s="733">
        <f>IF(K4&lt;'Project Assumptions'!$G$39,K34-K36,IF(K4&gt;'Project Assumptions'!$G$39,0,K34-K36))</f>
        <v>34013.395148039184</v>
      </c>
      <c r="L38" s="733">
        <f>IF(L4&lt;'Project Assumptions'!$G$39,L34-L36,IF(L4&gt;'Project Assumptions'!$G$39,0,L34-L36))</f>
        <v>23686.655063511404</v>
      </c>
      <c r="M38" s="733">
        <f>IF(M4&lt;'Project Assumptions'!$G$39,M34-M36,IF(M4&gt;'Project Assumptions'!$G$39,0,M34-M36))</f>
        <v>12464.702042351491</v>
      </c>
      <c r="N38" s="733">
        <f>IF(N4&lt;'Project Assumptions'!$G$39,N34-N36,IF(N4&gt;'Project Assumptions'!$G$39,0,N34-N36))</f>
        <v>-1.4551915228366852E-11</v>
      </c>
      <c r="O38" s="733">
        <f>IF(O4&lt;'Project Assumptions'!$G$39,O34-O36,IF(O4&gt;'Project Assumptions'!$G$39,0,O34-O36))</f>
        <v>0</v>
      </c>
      <c r="P38" s="733">
        <f>IF(P4&lt;'Project Assumptions'!$G$39,P34-P36,IF(P4&gt;'Project Assumptions'!$G$39,0,P34-P36))</f>
        <v>0</v>
      </c>
      <c r="Q38" s="733">
        <f>IF(Q4&lt;'Project Assumptions'!$G$39,Q34-Q36,IF(Q4&gt;'Project Assumptions'!$G$39,0,Q34-Q36))</f>
        <v>0</v>
      </c>
      <c r="R38" s="733">
        <f>IF(R4&lt;'Project Assumptions'!$G$39,R34-R36,IF(R4&gt;'Project Assumptions'!$G$39,0,R34-R36))</f>
        <v>0</v>
      </c>
      <c r="S38" s="733">
        <f>IF(S4&lt;'Project Assumptions'!$G$39,S34-S36,IF(S4&gt;'Project Assumptions'!$G$39,0,S34-S36))</f>
        <v>0</v>
      </c>
      <c r="T38" s="733">
        <f>IF(T4&lt;'Project Assumptions'!$G$39,T34-T36,IF(T4&gt;'Project Assumptions'!$G$39,0,T34-T36))</f>
        <v>0</v>
      </c>
      <c r="U38" s="733">
        <f>IF(U4&lt;'Project Assumptions'!$G$39,U34-U36,IF(U4&gt;'Project Assumptions'!$G$39,0,U34-U36))</f>
        <v>0</v>
      </c>
      <c r="V38" s="733">
        <f>IF(V4&lt;'Project Assumptions'!$G$39,V34-V36,IF(V4&gt;'Project Assumptions'!$G$39,0,V34-V36))</f>
        <v>0</v>
      </c>
      <c r="W38" s="733">
        <f>IF(W4&lt;'Project Assumptions'!$G$39,W34-W36,IF(W4&gt;'Project Assumptions'!$G$39,0,W34-W36))</f>
        <v>0</v>
      </c>
      <c r="X38" s="733">
        <f>IF(X4&lt;'Project Assumptions'!$G$39,X34-X36,IF(X4&gt;'Project Assumptions'!$G$39,0,X34-X36))</f>
        <v>0</v>
      </c>
      <c r="Y38" s="733">
        <f>IF(Y4&lt;'Project Assumptions'!$G$39,Y34-Y36,IF(Y4&gt;'Project Assumptions'!$G$39,0,Y34-Y36))</f>
        <v>0</v>
      </c>
      <c r="Z38" s="733">
        <f>IF(Z4&lt;'Project Assumptions'!$G$39,Z34-Z36,IF(Z4&gt;'Project Assumptions'!$G$39,0,Z34-Z36))</f>
        <v>0</v>
      </c>
      <c r="AA38" s="733">
        <f>IF(AA4&lt;'Project Assumptions'!$G$39,AA34-AA36,IF(AA4&gt;'Project Assumptions'!$G$39,0,AA34-AA36))</f>
        <v>0</v>
      </c>
      <c r="AB38" s="733">
        <f>IF(AB4&lt;'Project Assumptions'!$G$39,AB34-AB36,IF(AB4&gt;'Project Assumptions'!$G$39,0,AB34-AB36))</f>
        <v>0</v>
      </c>
      <c r="AC38" s="734">
        <f>IF(AC4&lt;'Project Assumptions'!$G$39,AC34-AC36,IF(AC4&gt;'Project Assumptions'!$G$39,0,AC34-AC36))</f>
        <v>0</v>
      </c>
      <c r="AD38" s="742"/>
      <c r="AE38" s="742"/>
      <c r="AF38" s="742"/>
      <c r="AG38" s="742"/>
      <c r="AH38" s="742"/>
      <c r="AI38" s="742"/>
    </row>
    <row r="39" spans="1:35" s="48" customFormat="1" ht="12.6" customHeight="1">
      <c r="A39" s="745" t="s">
        <v>212</v>
      </c>
      <c r="B39" s="779"/>
      <c r="C39" s="779"/>
      <c r="D39" s="746"/>
      <c r="E39" s="780">
        <f>IF('Project Assumptions'!$G$39&gt;0,SUMPRODUCT(E4:AC4,E36:AC36)/B20,0)</f>
        <v>7.7744572544100725</v>
      </c>
      <c r="F39" s="763"/>
      <c r="G39" s="763"/>
      <c r="H39" s="763"/>
      <c r="I39" s="763"/>
      <c r="J39" s="763"/>
      <c r="K39" s="763"/>
      <c r="L39" s="763"/>
      <c r="M39" s="763"/>
      <c r="N39" s="763"/>
      <c r="O39" s="763"/>
      <c r="P39" s="763"/>
      <c r="Q39" s="763"/>
      <c r="R39" s="763"/>
      <c r="S39" s="763"/>
      <c r="T39" s="763"/>
      <c r="U39" s="763"/>
      <c r="V39" s="763"/>
      <c r="W39" s="763"/>
      <c r="X39" s="763"/>
      <c r="Y39" s="763"/>
      <c r="Z39" s="763"/>
      <c r="AA39" s="763"/>
      <c r="AB39" s="763"/>
      <c r="AC39" s="764"/>
      <c r="AD39" s="742"/>
      <c r="AE39" s="742"/>
      <c r="AF39" s="742"/>
      <c r="AG39" s="742"/>
      <c r="AH39" s="742"/>
      <c r="AI39" s="742"/>
    </row>
    <row r="40" spans="1:35" s="49" customFormat="1">
      <c r="A40" s="247"/>
      <c r="B40" s="247"/>
      <c r="C40" s="247"/>
      <c r="D40" s="247"/>
      <c r="E40" s="722"/>
      <c r="F40" s="722"/>
      <c r="G40" s="722"/>
      <c r="H40" s="722"/>
      <c r="I40" s="722"/>
      <c r="J40" s="722"/>
      <c r="K40" s="722"/>
      <c r="L40" s="722"/>
      <c r="M40" s="722"/>
      <c r="N40" s="722"/>
      <c r="O40" s="722"/>
      <c r="P40" s="722"/>
      <c r="Q40" s="722"/>
      <c r="R40" s="722"/>
      <c r="S40" s="781"/>
      <c r="T40" s="722"/>
      <c r="U40" s="722"/>
      <c r="V40" s="722"/>
      <c r="W40" s="722"/>
      <c r="X40" s="722"/>
      <c r="Y40" s="722"/>
      <c r="Z40" s="722"/>
      <c r="AA40" s="722"/>
      <c r="AB40" s="722"/>
      <c r="AC40" s="722"/>
      <c r="AD40" s="247"/>
      <c r="AE40" s="247"/>
      <c r="AF40" s="247"/>
      <c r="AG40" s="247"/>
      <c r="AH40" s="247"/>
      <c r="AI40" s="247"/>
    </row>
    <row r="41" spans="1:35" s="48" customFormat="1">
      <c r="A41" s="750" t="s">
        <v>188</v>
      </c>
      <c r="B41" s="782"/>
      <c r="C41" s="782"/>
      <c r="D41" s="783"/>
      <c r="E41" s="751"/>
      <c r="F41" s="783"/>
      <c r="G41" s="783"/>
      <c r="H41" s="783"/>
      <c r="I41" s="783"/>
      <c r="J41" s="783"/>
      <c r="K41" s="783"/>
      <c r="L41" s="783"/>
      <c r="M41" s="783"/>
      <c r="N41" s="783"/>
      <c r="O41" s="783"/>
      <c r="P41" s="783"/>
      <c r="Q41" s="783"/>
      <c r="R41" s="783"/>
      <c r="S41" s="784"/>
      <c r="T41" s="783"/>
      <c r="U41" s="783"/>
      <c r="V41" s="783"/>
      <c r="W41" s="783"/>
      <c r="X41" s="783"/>
      <c r="Y41" s="783"/>
      <c r="Z41" s="783"/>
      <c r="AA41" s="783"/>
      <c r="AB41" s="783"/>
      <c r="AC41" s="785"/>
      <c r="AD41" s="742"/>
      <c r="AE41" s="742"/>
      <c r="AF41" s="742"/>
      <c r="AG41" s="742"/>
      <c r="AH41" s="742"/>
      <c r="AI41" s="742"/>
    </row>
    <row r="42" spans="1:35" s="48" customFormat="1" ht="12.6" customHeight="1">
      <c r="A42" s="737" t="s">
        <v>98</v>
      </c>
      <c r="B42" s="786"/>
      <c r="C42" s="786"/>
      <c r="D42" s="738"/>
      <c r="E42" s="733">
        <f>B21</f>
        <v>94223.970078209168</v>
      </c>
      <c r="F42" s="733">
        <f>+IF(F4&gt;'Project Assumptions'!$H$39, 0, E46)</f>
        <v>94223.970078209168</v>
      </c>
      <c r="G42" s="733">
        <f>+IF(G4&gt;'Project Assumptions'!$H$39, 0, F46)</f>
        <v>94223.970078209168</v>
      </c>
      <c r="H42" s="733">
        <f>+IF(H4&gt;'Project Assumptions'!$H$39, 0, G46)</f>
        <v>94223.970078209168</v>
      </c>
      <c r="I42" s="733">
        <f>+IF(I4&gt;'Project Assumptions'!$H$39, 0, H46)</f>
        <v>94223.970078209168</v>
      </c>
      <c r="J42" s="733">
        <f>+IF(J4&gt;'Project Assumptions'!$H$39, 0, I46)</f>
        <v>94223.970078209168</v>
      </c>
      <c r="K42" s="733">
        <f>+IF(K4&gt;'Project Assumptions'!$H$39, 0, J46)</f>
        <v>94223.970078209168</v>
      </c>
      <c r="L42" s="733">
        <f>+IF(L4&gt;'Project Assumptions'!$H$39, 0, K46)</f>
        <v>94223.970078209168</v>
      </c>
      <c r="M42" s="733">
        <f>+IF(M4&gt;'Project Assumptions'!$H$39, 0, L46)</f>
        <v>94223.970078209168</v>
      </c>
      <c r="N42" s="733">
        <f>+IF(N4&gt;'Project Assumptions'!$H$39, 0, M46)</f>
        <v>94223.970078209168</v>
      </c>
      <c r="O42" s="733">
        <f>+IF(O4&gt;'Project Assumptions'!$H$39, 0, N46)</f>
        <v>94223.970078209168</v>
      </c>
      <c r="P42" s="733">
        <f>+IF(P4&gt;'Project Assumptions'!$H$39, 0, O46)</f>
        <v>88411.36092865096</v>
      </c>
      <c r="Q42" s="733">
        <f>+IF(Q4&gt;'Project Assumptions'!$H$39, 0, P46)</f>
        <v>81714.88026039445</v>
      </c>
      <c r="R42" s="733">
        <f>+IF(R4&gt;'Project Assumptions'!$H$39, 0, Q46)</f>
        <v>74361.025614197482</v>
      </c>
      <c r="S42" s="733">
        <f>+IF(S4&gt;'Project Assumptions'!$H$39, 0, R46)</f>
        <v>66302.067249897082</v>
      </c>
      <c r="T42" s="733">
        <f>+IF(T4&gt;'Project Assumptions'!$H$39, 0, S46)</f>
        <v>57486.832383332236</v>
      </c>
      <c r="U42" s="733">
        <f>+IF(U4&gt;'Project Assumptions'!$H$39, 0, T46)</f>
        <v>47860.445781163588</v>
      </c>
      <c r="V42" s="733">
        <f>+IF(V4&gt;'Project Assumptions'!$H$39, 0, U46)</f>
        <v>37364.050055374639</v>
      </c>
      <c r="W42" s="733">
        <f>+IF(W4&gt;'Project Assumptions'!$H$39, 0, V46)</f>
        <v>25934.504032017656</v>
      </c>
      <c r="X42" s="733">
        <f>+IF(X4&gt;'Project Assumptions'!$H$39, 0, W46)</f>
        <v>13504.057437087458</v>
      </c>
      <c r="Y42" s="733">
        <f>+IF(Y4&gt;'Project Assumptions'!$H$39, 0, X46)</f>
        <v>0</v>
      </c>
      <c r="Z42" s="733">
        <f>+IF(Z4&gt;'Project Assumptions'!$H$39, 0, Y46)</f>
        <v>0</v>
      </c>
      <c r="AA42" s="733">
        <f>+IF(AA4&gt;'Project Assumptions'!$H$39, 0, Z46)</f>
        <v>0</v>
      </c>
      <c r="AB42" s="733">
        <f>+IF(AB4&gt;'Project Assumptions'!$H$39, 0, AA46)</f>
        <v>0</v>
      </c>
      <c r="AC42" s="734">
        <f>+IF(AC4&gt;'Project Assumptions'!$H$39, 0, AB46)</f>
        <v>0</v>
      </c>
      <c r="AD42" s="742"/>
      <c r="AE42" s="742"/>
      <c r="AF42" s="742"/>
      <c r="AG42" s="742"/>
      <c r="AH42" s="742"/>
      <c r="AI42" s="742"/>
    </row>
    <row r="43" spans="1:35" s="48" customFormat="1" ht="12.6" customHeight="1">
      <c r="A43" s="737" t="s">
        <v>99</v>
      </c>
      <c r="B43" s="787"/>
      <c r="C43" s="787"/>
      <c r="D43" s="738"/>
      <c r="E43" s="772">
        <f>IF('Project Assumptions'!$H$39=0,0,IF(E4&gt;'Project Assumptions'!$G$39,E42*E14,IF(AND(E4&lt;='Project Assumptions'!$G$39,'Project Assumptions'!$H$42="Interest Only"),E42*E14*(13-MONTH('Project Assumptions'!G16))/12,0)))</f>
        <v>0</v>
      </c>
      <c r="F43" s="772">
        <f>IF('Project Assumptions'!$H$39=0,0,IF(F4&gt;'Project Assumptions'!$G$39,F42*F14,IF(AND(F4&lt;='Project Assumptions'!$G$39,'Project Assumptions'!$H$42="Interest Only"),F42*F14,0)))</f>
        <v>0</v>
      </c>
      <c r="G43" s="772">
        <f>IF('Project Assumptions'!$H$39=0,0,IF(G4&gt;'Project Assumptions'!$G$39,G42*G14,IF(AND(G4&lt;='Project Assumptions'!$G$39,'Project Assumptions'!$H$42="Interest Only"),G42*G14,0)))</f>
        <v>0</v>
      </c>
      <c r="H43" s="772">
        <f>IF('Project Assumptions'!$H$39=0,0,IF(H4&gt;'Project Assumptions'!$G$39,H42*H14,IF(AND(H4&lt;='Project Assumptions'!$G$39,'Project Assumptions'!$H$42="Interest Only"),H42*H14,0)))</f>
        <v>0</v>
      </c>
      <c r="I43" s="772">
        <f>IF('Project Assumptions'!$H$39=0,0,IF(I4&gt;'Project Assumptions'!$G$39,I42*I14,IF(AND(I4&lt;='Project Assumptions'!$G$39,'Project Assumptions'!$H$42="Interest Only"),I42*I14,0)))</f>
        <v>0</v>
      </c>
      <c r="J43" s="772">
        <f>IF('Project Assumptions'!$H$39=0,0,IF(J4&gt;'Project Assumptions'!$G$39,J42*J14,IF(AND(J4&lt;='Project Assumptions'!$G$39,'Project Assumptions'!$H$42="Interest Only"),J42*J14,0)))</f>
        <v>0</v>
      </c>
      <c r="K43" s="772">
        <f>IF('Project Assumptions'!$H$39=0,0,IF(K4&gt;'Project Assumptions'!$G$39,K42*K14,IF(AND(K4&lt;='Project Assumptions'!$G$39,'Project Assumptions'!$H$42="Interest Only"),K42*K14,0)))</f>
        <v>0</v>
      </c>
      <c r="L43" s="772">
        <f>IF('Project Assumptions'!$H$39=0,0,IF(L4&gt;'Project Assumptions'!$G$39,L42*L14,IF(AND(L4&lt;='Project Assumptions'!$G$39,'Project Assumptions'!$H$42="Interest Only"),L42*L14,0)))</f>
        <v>0</v>
      </c>
      <c r="M43" s="772">
        <f>IF('Project Assumptions'!$H$39=0,0,IF(M4&gt;'Project Assumptions'!$G$39,M42*M14,IF(AND(M4&lt;='Project Assumptions'!$G$39,'Project Assumptions'!$H$42="Interest Only"),M42*M14,0)))</f>
        <v>0</v>
      </c>
      <c r="N43" s="772">
        <f>IF('Project Assumptions'!$H$39=0,0,IF(N4&gt;'Project Assumptions'!$G$39,N42*N14,IF(AND(N4&lt;='Project Assumptions'!$G$39,'Project Assumptions'!$H$42="Interest Only"),N42*N14,0)))</f>
        <v>0</v>
      </c>
      <c r="O43" s="772">
        <f>IF('Project Assumptions'!$H$39=0,0,IF(O4&gt;'Project Assumptions'!$G$39,O42*O14,IF(AND(O4&lt;='Project Assumptions'!$G$39,'Project Assumptions'!$H$42="Interest Only"),O42*O14,0)))</f>
        <v>7707.5207523975096</v>
      </c>
      <c r="P43" s="772">
        <f>IF('Project Assumptions'!$H$39=0,0,IF(P4&gt;'Project Assumptions'!$G$39,P42*P14,IF(AND(P4&lt;='Project Assumptions'!$G$39,'Project Assumptions'!$H$42="Interest Only"),P42*P14,0)))</f>
        <v>7232.049323963648</v>
      </c>
      <c r="Q43" s="772">
        <f>IF('Project Assumptions'!$H$39=0,0,IF(Q4&gt;'Project Assumptions'!$G$39,Q42*Q14,IF(AND(Q4&lt;='Project Assumptions'!$G$39,'Project Assumptions'!$H$42="Interest Only"),Q42*Q14,0)))</f>
        <v>6684.2772053002655</v>
      </c>
      <c r="R43" s="772">
        <f>IF('Project Assumptions'!$H$39=0,0,IF(R4&gt;'Project Assumptions'!$G$39,R42*R14,IF(AND(R4&lt;='Project Assumptions'!$G$39,'Project Assumptions'!$H$42="Interest Only"),R42*R14,0)))</f>
        <v>6082.7318952413543</v>
      </c>
      <c r="S43" s="772">
        <f>IF('Project Assumptions'!$H$39=0,0,IF(S4&gt;'Project Assumptions'!$G$39,S42*S14,IF(AND(S4&lt;='Project Assumptions'!$G$39,'Project Assumptions'!$H$42="Interest Only"),S42*S14,0)))</f>
        <v>5423.5091010415808</v>
      </c>
      <c r="T43" s="772">
        <f>IF('Project Assumptions'!$H$39=0,0,IF(T4&gt;'Project Assumptions'!$G$39,T42*T14,IF(AND(T4&lt;='Project Assumptions'!$G$39,'Project Assumptions'!$H$42="Interest Only"),T42*T14,0)))</f>
        <v>4702.4228889565766</v>
      </c>
      <c r="U43" s="772">
        <f>IF('Project Assumptions'!$H$39=0,0,IF(U4&gt;'Project Assumptions'!$G$39,U42*U14,IF(AND(U4&lt;='Project Assumptions'!$G$39,'Project Assumptions'!$H$42="Interest Only"),U42*U14,0)))</f>
        <v>3914.9844648991811</v>
      </c>
      <c r="V43" s="772">
        <f>IF('Project Assumptions'!$H$39=0,0,IF(V4&gt;'Project Assumptions'!$G$39,V42*V14,IF(AND(V4&lt;='Project Assumptions'!$G$39,'Project Assumptions'!$H$42="Interest Only"),V42*V14,0)))</f>
        <v>3056.3792945296454</v>
      </c>
      <c r="W43" s="772">
        <f>IF('Project Assumptions'!$H$39=0,0,IF(W4&gt;'Project Assumptions'!$G$39,W42*W14,IF(AND(W4&lt;='Project Assumptions'!$G$39,'Project Assumptions'!$H$42="Interest Only"),W42*W14,0)))</f>
        <v>2121.4424298190443</v>
      </c>
      <c r="X43" s="772">
        <f>IF('Project Assumptions'!$H$39=0,0,IF(X4&gt;'Project Assumptions'!$G$39,X42*X14,IF(AND(X4&lt;='Project Assumptions'!$G$39,'Project Assumptions'!$H$42="Interest Only"),X42*X14,0)))</f>
        <v>1104.631898353754</v>
      </c>
      <c r="Y43" s="772">
        <f>IF('Project Assumptions'!$H$39=0,0,IF(Y4&gt;'Project Assumptions'!$G$39,Y42*Y14,IF(AND(Y4&lt;='Project Assumptions'!$G$39,'Project Assumptions'!$H$42="Interest Only"),Y42*Y14,0)))</f>
        <v>0</v>
      </c>
      <c r="Z43" s="772">
        <f>IF('Project Assumptions'!$H$39=0,0,IF(Z4&gt;'Project Assumptions'!$G$39,Z42*Z14,IF(AND(Z4&lt;='Project Assumptions'!$G$39,'Project Assumptions'!$H$42="Interest Only"),Z42*Z14,0)))</f>
        <v>0</v>
      </c>
      <c r="AA43" s="772">
        <f>IF('Project Assumptions'!$H$39=0,0,IF(AA4&gt;'Project Assumptions'!$G$39,AA42*AA14,IF(AND(AA4&lt;='Project Assumptions'!$G$39,'Project Assumptions'!$H$42="Interest Only"),AA42*AA14,0)))</f>
        <v>0</v>
      </c>
      <c r="AB43" s="772">
        <f>IF('Project Assumptions'!$H$39=0,0,IF(AB4&gt;'Project Assumptions'!$G$39,AB42*AB14,IF(AND(AB4&lt;='Project Assumptions'!$G$39,'Project Assumptions'!$H$42="Interest Only"),AB42*AB14,0)))</f>
        <v>0</v>
      </c>
      <c r="AC43" s="773">
        <f>IF('Project Assumptions'!$H$39=0,0,IF(AC4&gt;'Project Assumptions'!$G$39,AC42*AC14,IF(AND(AC4&lt;='Project Assumptions'!$G$39,'Project Assumptions'!$H$42="Interest Only"),AC42*AC14,0)))</f>
        <v>0</v>
      </c>
      <c r="AD43" s="742"/>
      <c r="AE43" s="742"/>
      <c r="AF43" s="742"/>
      <c r="AG43" s="742"/>
      <c r="AH43" s="742"/>
      <c r="AI43" s="742"/>
    </row>
    <row r="44" spans="1:35" s="48" customFormat="1" ht="12.6" customHeight="1">
      <c r="A44" s="737" t="s">
        <v>100</v>
      </c>
      <c r="B44" s="788"/>
      <c r="C44" s="788"/>
      <c r="D44" s="738"/>
      <c r="E44" s="789">
        <f>+E45-E43</f>
        <v>0</v>
      </c>
      <c r="F44" s="789">
        <f t="shared" ref="F44:AC44" si="2">+F45-F43</f>
        <v>0</v>
      </c>
      <c r="G44" s="789">
        <f t="shared" si="2"/>
        <v>0</v>
      </c>
      <c r="H44" s="789">
        <f t="shared" si="2"/>
        <v>0</v>
      </c>
      <c r="I44" s="789">
        <f t="shared" si="2"/>
        <v>0</v>
      </c>
      <c r="J44" s="789">
        <f t="shared" si="2"/>
        <v>0</v>
      </c>
      <c r="K44" s="789">
        <f t="shared" si="2"/>
        <v>0</v>
      </c>
      <c r="L44" s="789">
        <f t="shared" si="2"/>
        <v>0</v>
      </c>
      <c r="M44" s="789">
        <f t="shared" si="2"/>
        <v>0</v>
      </c>
      <c r="N44" s="789">
        <f t="shared" si="2"/>
        <v>0</v>
      </c>
      <c r="O44" s="789">
        <f t="shared" si="2"/>
        <v>5812.6091495582095</v>
      </c>
      <c r="P44" s="789">
        <f t="shared" si="2"/>
        <v>6696.480668256504</v>
      </c>
      <c r="Q44" s="789">
        <f t="shared" si="2"/>
        <v>7353.8546461969627</v>
      </c>
      <c r="R44" s="789">
        <f t="shared" si="2"/>
        <v>8058.958364300398</v>
      </c>
      <c r="S44" s="789">
        <f t="shared" si="2"/>
        <v>8815.234866564846</v>
      </c>
      <c r="T44" s="789">
        <f t="shared" si="2"/>
        <v>9626.3866021686499</v>
      </c>
      <c r="U44" s="789">
        <f t="shared" si="2"/>
        <v>10496.395725788952</v>
      </c>
      <c r="V44" s="789">
        <f t="shared" si="2"/>
        <v>11429.546023356983</v>
      </c>
      <c r="W44" s="789">
        <f t="shared" si="2"/>
        <v>12430.446594930198</v>
      </c>
      <c r="X44" s="789">
        <f t="shared" si="2"/>
        <v>13504.057437087584</v>
      </c>
      <c r="Y44" s="789">
        <f t="shared" si="2"/>
        <v>0</v>
      </c>
      <c r="Z44" s="789">
        <f t="shared" si="2"/>
        <v>0</v>
      </c>
      <c r="AA44" s="789">
        <f t="shared" si="2"/>
        <v>0</v>
      </c>
      <c r="AB44" s="789">
        <f t="shared" si="2"/>
        <v>0</v>
      </c>
      <c r="AC44" s="790">
        <f t="shared" si="2"/>
        <v>0</v>
      </c>
      <c r="AD44" s="742"/>
      <c r="AE44" s="742"/>
      <c r="AF44" s="742"/>
      <c r="AG44" s="742"/>
      <c r="AH44" s="742"/>
      <c r="AI44" s="742"/>
    </row>
    <row r="45" spans="1:35" s="48" customFormat="1" ht="12.6" customHeight="1">
      <c r="A45" s="737" t="s">
        <v>101</v>
      </c>
      <c r="B45" s="148"/>
      <c r="C45" s="148"/>
      <c r="D45" s="738"/>
      <c r="E45" s="755">
        <f>IF(E4&lt;='Project Assumptions'!$F$39,E43,E21)</f>
        <v>0</v>
      </c>
      <c r="F45" s="755">
        <f>IF(F4&lt;='Project Assumptions'!$F$39,F43,F21)</f>
        <v>0</v>
      </c>
      <c r="G45" s="755">
        <f>IF(G4&lt;='Project Assumptions'!$F$39,G43,G21)</f>
        <v>0</v>
      </c>
      <c r="H45" s="755">
        <f>IF(H4&lt;='Project Assumptions'!$F$39,H43,H21)</f>
        <v>0</v>
      </c>
      <c r="I45" s="755">
        <f>IF(I4&lt;='Project Assumptions'!$F$39,I43,I21)</f>
        <v>0</v>
      </c>
      <c r="J45" s="755">
        <f>IF(J4&lt;='Project Assumptions'!$F$39,J43,J21)</f>
        <v>0</v>
      </c>
      <c r="K45" s="755">
        <f>IF(K4&lt;='Project Assumptions'!$F$39,K43,K21)</f>
        <v>0</v>
      </c>
      <c r="L45" s="755">
        <f>IF(L4&lt;='Project Assumptions'!$F$39,L43,L21)</f>
        <v>0</v>
      </c>
      <c r="M45" s="755">
        <f>IF(M4&lt;='Project Assumptions'!$G$39,M43,M21)</f>
        <v>0</v>
      </c>
      <c r="N45" s="755">
        <f>IF(N4&lt;='Project Assumptions'!$G$39,N43,N21)</f>
        <v>0</v>
      </c>
      <c r="O45" s="755">
        <f>IF(O4&lt;='Project Assumptions'!$G$39,O43,O21)</f>
        <v>13520.129901955719</v>
      </c>
      <c r="P45" s="755">
        <f>IF(P4&lt;='Project Assumptions'!$G$39,P43,P21)</f>
        <v>13928.529992220152</v>
      </c>
      <c r="Q45" s="755">
        <f>IF(Q4&lt;='Project Assumptions'!$G$39,Q43,Q21)</f>
        <v>14038.131851497228</v>
      </c>
      <c r="R45" s="755">
        <f>IF(R4&lt;='Project Assumptions'!$G$39,R43,R21)</f>
        <v>14141.690259541752</v>
      </c>
      <c r="S45" s="755">
        <f>IF(S4&lt;='Project Assumptions'!$G$39,S43,S21)</f>
        <v>14238.743967606428</v>
      </c>
      <c r="T45" s="755">
        <f>IF(T4&lt;='Project Assumptions'!$G$39,T43,T21)</f>
        <v>14328.809491125226</v>
      </c>
      <c r="U45" s="755">
        <f>IF(U4&lt;='Project Assumptions'!$G$39,U43,U21)</f>
        <v>14411.380190688133</v>
      </c>
      <c r="V45" s="755">
        <f>IF(V4&lt;='Project Assumptions'!$G$39,V43,V21)</f>
        <v>14485.925317886629</v>
      </c>
      <c r="W45" s="755">
        <f>IF(W4&lt;='Project Assumptions'!$G$39,W43,W21)</f>
        <v>14551.889024749242</v>
      </c>
      <c r="X45" s="755">
        <f>IF(X4&lt;='Project Assumptions'!$G$39,X43,X21)</f>
        <v>14608.689335441337</v>
      </c>
      <c r="Y45" s="755">
        <f>IF(Y4&lt;='Project Assumptions'!$G$39,Y43,Y21)</f>
        <v>0</v>
      </c>
      <c r="Z45" s="755">
        <f>IF(Z4&lt;='Project Assumptions'!$G$39,Z43,Z21)</f>
        <v>0</v>
      </c>
      <c r="AA45" s="755">
        <f>IF(AA4&lt;='Project Assumptions'!$G$39,AA43,AA21)</f>
        <v>0</v>
      </c>
      <c r="AB45" s="755">
        <f>IF(AB4&lt;='Project Assumptions'!$G$39,AB43,AB21)</f>
        <v>0</v>
      </c>
      <c r="AC45" s="756">
        <f>IF(AC4&lt;='Project Assumptions'!$G$39,AC43,AC21)</f>
        <v>0</v>
      </c>
      <c r="AD45" s="742"/>
      <c r="AE45" s="742"/>
      <c r="AF45" s="742"/>
      <c r="AG45" s="742"/>
      <c r="AH45" s="742"/>
      <c r="AI45" s="742"/>
    </row>
    <row r="46" spans="1:35" s="48" customFormat="1" ht="12.6" customHeight="1">
      <c r="A46" s="737" t="s">
        <v>102</v>
      </c>
      <c r="B46" s="710"/>
      <c r="C46" s="710"/>
      <c r="D46" s="738"/>
      <c r="E46" s="733">
        <f>IF('Project Assumptions'!$H$39=0,0,E42-E44)</f>
        <v>94223.970078209168</v>
      </c>
      <c r="F46" s="733">
        <f>IF('Project Assumptions'!$H$39=0,0,F42-F44)</f>
        <v>94223.970078209168</v>
      </c>
      <c r="G46" s="733">
        <f>IF('Project Assumptions'!$H$39=0,0,G42-G44)</f>
        <v>94223.970078209168</v>
      </c>
      <c r="H46" s="733">
        <f>IF('Project Assumptions'!$H$39=0,0,H42-H44)</f>
        <v>94223.970078209168</v>
      </c>
      <c r="I46" s="733">
        <f>IF('Project Assumptions'!$H$39=0,0,I42-I44)</f>
        <v>94223.970078209168</v>
      </c>
      <c r="J46" s="733">
        <f>IF('Project Assumptions'!$H$39=0,0,J42-J44)</f>
        <v>94223.970078209168</v>
      </c>
      <c r="K46" s="733">
        <f>IF('Project Assumptions'!$H$39=0,0,K42-K44)</f>
        <v>94223.970078209168</v>
      </c>
      <c r="L46" s="733">
        <f>IF('Project Assumptions'!$H$39=0,0,L42-L44)</f>
        <v>94223.970078209168</v>
      </c>
      <c r="M46" s="733">
        <f>IF('Project Assumptions'!$H$39=0,0,M42-M44)</f>
        <v>94223.970078209168</v>
      </c>
      <c r="N46" s="733">
        <f>IF('Project Assumptions'!$H$39=0,0,N42-N44)</f>
        <v>94223.970078209168</v>
      </c>
      <c r="O46" s="733">
        <f>IF('Project Assumptions'!$H$39=0,0,O42-O44)</f>
        <v>88411.36092865096</v>
      </c>
      <c r="P46" s="733">
        <f>IF('Project Assumptions'!$H$39=0,0,P42-P44)</f>
        <v>81714.88026039445</v>
      </c>
      <c r="Q46" s="733">
        <f>IF('Project Assumptions'!$H$39=0,0,Q42-Q44)</f>
        <v>74361.025614197482</v>
      </c>
      <c r="R46" s="733">
        <f>IF('Project Assumptions'!$H$39=0,0,R42-R44)</f>
        <v>66302.067249897082</v>
      </c>
      <c r="S46" s="733">
        <f>IF('Project Assumptions'!$H$39=0,0,S42-S44)</f>
        <v>57486.832383332236</v>
      </c>
      <c r="T46" s="733">
        <f>IF('Project Assumptions'!$H$39=0,0,T42-T44)</f>
        <v>47860.445781163588</v>
      </c>
      <c r="U46" s="733">
        <f>IF('Project Assumptions'!$H$39=0,0,U42-U44)</f>
        <v>37364.050055374639</v>
      </c>
      <c r="V46" s="733">
        <f>IF('Project Assumptions'!$H$39=0,0,V42-V44)</f>
        <v>25934.504032017656</v>
      </c>
      <c r="W46" s="733">
        <f>IF('Project Assumptions'!$H$39=0,0,W42-W44)</f>
        <v>13504.057437087458</v>
      </c>
      <c r="X46" s="733">
        <f>IF('Project Assumptions'!$H$39=0,0,X42-X44)</f>
        <v>-1.255102688446641E-10</v>
      </c>
      <c r="Y46" s="733">
        <f>IF('Project Assumptions'!$H$39=0,0,Y42-Y44)</f>
        <v>0</v>
      </c>
      <c r="Z46" s="733">
        <f>IF('Project Assumptions'!$H$39=0,0,Z42-Z44)</f>
        <v>0</v>
      </c>
      <c r="AA46" s="733">
        <f>IF('Project Assumptions'!$H$39=0,0,AA42-AA44)</f>
        <v>0</v>
      </c>
      <c r="AB46" s="733">
        <f>IF('Project Assumptions'!$H$39=0,0,AB42-AB44)</f>
        <v>0</v>
      </c>
      <c r="AC46" s="734">
        <f>IF('Project Assumptions'!$H$39=0,0,AC42-AC44)</f>
        <v>0</v>
      </c>
      <c r="AD46" s="742"/>
      <c r="AE46" s="742"/>
      <c r="AF46" s="742"/>
      <c r="AG46" s="742"/>
      <c r="AH46" s="742"/>
      <c r="AI46" s="742"/>
    </row>
    <row r="47" spans="1:35" s="48" customFormat="1" ht="12.6" customHeight="1">
      <c r="A47" s="745" t="s">
        <v>212</v>
      </c>
      <c r="B47" s="779"/>
      <c r="C47" s="779"/>
      <c r="D47" s="746"/>
      <c r="E47" s="780">
        <f>IF('Project Assumptions'!H39&gt;0,SUMPRODUCT(E4:AC4,E44:AC44)/B21,0)</f>
        <v>16.231569242231686</v>
      </c>
      <c r="F47" s="763"/>
      <c r="G47" s="763"/>
      <c r="H47" s="763"/>
      <c r="I47" s="763"/>
      <c r="J47" s="763"/>
      <c r="K47" s="763"/>
      <c r="L47" s="763"/>
      <c r="M47" s="763"/>
      <c r="N47" s="763"/>
      <c r="O47" s="763"/>
      <c r="P47" s="763"/>
      <c r="Q47" s="763"/>
      <c r="R47" s="763"/>
      <c r="S47" s="763"/>
      <c r="T47" s="763"/>
      <c r="U47" s="763"/>
      <c r="V47" s="763"/>
      <c r="W47" s="763"/>
      <c r="X47" s="763"/>
      <c r="Y47" s="763"/>
      <c r="Z47" s="763"/>
      <c r="AA47" s="763"/>
      <c r="AB47" s="763"/>
      <c r="AC47" s="764"/>
      <c r="AD47" s="742"/>
      <c r="AE47" s="742"/>
      <c r="AF47" s="742"/>
      <c r="AG47" s="742"/>
      <c r="AH47" s="742"/>
      <c r="AI47" s="742"/>
    </row>
    <row r="48" spans="1:35" s="48" customFormat="1" ht="12.6" customHeight="1">
      <c r="A48" s="260"/>
      <c r="B48" s="724"/>
      <c r="C48" s="724"/>
      <c r="D48" s="742"/>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42"/>
      <c r="AE48" s="742"/>
      <c r="AF48" s="742"/>
      <c r="AG48" s="742"/>
      <c r="AH48" s="742"/>
      <c r="AI48" s="742"/>
    </row>
    <row r="49" spans="1:35" s="48" customFormat="1" ht="13.5" thickBot="1">
      <c r="A49" s="742"/>
      <c r="B49" s="742"/>
      <c r="C49" s="742"/>
      <c r="D49" s="742"/>
      <c r="E49" s="749"/>
      <c r="F49" s="749"/>
      <c r="G49" s="749"/>
      <c r="H49" s="749"/>
      <c r="I49" s="749"/>
      <c r="J49" s="749"/>
      <c r="K49" s="749"/>
      <c r="L49" s="749"/>
      <c r="M49" s="749"/>
      <c r="N49" s="749"/>
      <c r="O49" s="749"/>
      <c r="P49" s="749"/>
      <c r="Q49" s="749"/>
      <c r="R49" s="749"/>
      <c r="S49" s="749"/>
      <c r="T49" s="749"/>
      <c r="U49" s="749"/>
      <c r="V49" s="749"/>
      <c r="W49" s="749"/>
      <c r="X49" s="749"/>
      <c r="Y49" s="749"/>
      <c r="Z49" s="749"/>
      <c r="AA49" s="749"/>
      <c r="AB49" s="749"/>
      <c r="AC49" s="749"/>
      <c r="AD49" s="742"/>
      <c r="AE49" s="742"/>
      <c r="AF49" s="742"/>
      <c r="AG49" s="742"/>
      <c r="AH49" s="742"/>
      <c r="AI49" s="742"/>
    </row>
    <row r="50" spans="1:35" s="48" customFormat="1">
      <c r="A50" s="792" t="s">
        <v>209</v>
      </c>
      <c r="B50" s="793"/>
      <c r="C50" s="793"/>
      <c r="D50" s="793"/>
      <c r="E50" s="794"/>
      <c r="F50" s="794"/>
      <c r="G50" s="794"/>
      <c r="H50" s="794"/>
      <c r="I50" s="794"/>
      <c r="J50" s="794"/>
      <c r="K50" s="794"/>
      <c r="L50" s="794"/>
      <c r="M50" s="794"/>
      <c r="N50" s="794"/>
      <c r="O50" s="794"/>
      <c r="P50" s="794"/>
      <c r="Q50" s="794"/>
      <c r="R50" s="794"/>
      <c r="S50" s="794"/>
      <c r="T50" s="794"/>
      <c r="U50" s="794"/>
      <c r="V50" s="794"/>
      <c r="W50" s="794"/>
      <c r="X50" s="794"/>
      <c r="Y50" s="794"/>
      <c r="Z50" s="794"/>
      <c r="AA50" s="794"/>
      <c r="AB50" s="794"/>
      <c r="AC50" s="795"/>
      <c r="AD50" s="742"/>
      <c r="AE50" s="742"/>
      <c r="AF50" s="742"/>
      <c r="AG50" s="742"/>
      <c r="AH50" s="742"/>
      <c r="AI50" s="742"/>
    </row>
    <row r="51" spans="1:35" s="48" customFormat="1">
      <c r="A51" s="796" t="s">
        <v>98</v>
      </c>
      <c r="B51" s="738"/>
      <c r="C51" s="738"/>
      <c r="D51" s="738"/>
      <c r="E51" s="733">
        <f>IF('Project Assumptions'!$I$34="Normal",E26+E34+E42,E69+E84+E99)</f>
        <v>130777.21349999998</v>
      </c>
      <c r="F51" s="733">
        <f>IF('Project Assumptions'!$I$34="Normal",F26+F34+F42,F69+F84+F99)</f>
        <v>125546.12495999999</v>
      </c>
      <c r="G51" s="733">
        <f>IF('Project Assumptions'!$I$34="Normal",G26+G34+G42,G69+G84+G99)</f>
        <v>120315.03641999997</v>
      </c>
      <c r="H51" s="733">
        <f>IF('Project Assumptions'!$I$34="Normal",H26+H34+H42,H69+H84+H99)</f>
        <v>113122.28967749997</v>
      </c>
      <c r="I51" s="733">
        <f>IF('Project Assumptions'!$I$34="Normal",I26+I34+I42,I69+I84+I99)</f>
        <v>103967.88473249998</v>
      </c>
      <c r="J51" s="733">
        <f>IF('Project Assumptions'!$I$34="Normal",J26+J34+J42,J69+J84+J99)</f>
        <v>98632.17442169998</v>
      </c>
      <c r="K51" s="733">
        <f>IF('Project Assumptions'!$I$34="Normal",K26+K34+K42,K69+K84+K99)</f>
        <v>93296.464110899993</v>
      </c>
      <c r="L51" s="733">
        <f>IF('Project Assumptions'!$I$34="Normal",L26+L34+L42,L69+L84+L99)</f>
        <v>87254.556847200001</v>
      </c>
      <c r="M51" s="733">
        <f>IF('Project Assumptions'!$I$34="Normal",M26+M34+M42,M69+M84+M99)</f>
        <v>81212.649583499995</v>
      </c>
      <c r="N51" s="733">
        <f>IF('Project Assumptions'!$I$34="Normal",N26+N34+N42,N69+N84+N99)</f>
        <v>71247.425914799998</v>
      </c>
      <c r="O51" s="733">
        <f>IF('Project Assumptions'!$I$34="Normal",O26+O34+O42,O69+O84+O99)</f>
        <v>58614.347090699994</v>
      </c>
      <c r="P51" s="733">
        <f>IF('Project Assumptions'!$I$34="Normal",P26+P34+P42,P69+P84+P99)</f>
        <v>55789.559279099994</v>
      </c>
      <c r="Q51" s="733">
        <f>IF('Project Assumptions'!$I$34="Normal",Q26+Q34+Q42,Q69+Q84+Q99)</f>
        <v>52258.574514599997</v>
      </c>
      <c r="R51" s="733">
        <f>IF('Project Assumptions'!$I$34="Normal",R26+R34+R42,R69+R84+R99)</f>
        <v>48727.5897501</v>
      </c>
      <c r="S51" s="733">
        <f>IF('Project Assumptions'!$I$34="Normal",S26+S34+S42,S69+S84+S99)</f>
        <v>45196.604985600003</v>
      </c>
      <c r="T51" s="733">
        <f>IF('Project Assumptions'!$I$34="Normal",T26+T34+T42,T69+T84+T99)</f>
        <v>41665.620221100005</v>
      </c>
      <c r="U51" s="733">
        <f>IF('Project Assumptions'!$I$34="Normal",U26+U34+U42,U69+U84+U99)</f>
        <v>38134.635456600008</v>
      </c>
      <c r="V51" s="733">
        <f>IF('Project Assumptions'!$I$34="Normal",V26+V34+V42,V69+V84+V99)</f>
        <v>31072.66592760001</v>
      </c>
      <c r="W51" s="733">
        <f>IF('Project Assumptions'!$I$34="Normal",W26+W34+W42,W69+W84+W99)</f>
        <v>22598.302492800012</v>
      </c>
      <c r="X51" s="733">
        <f>IF('Project Assumptions'!$I$34="Normal",X26+X34+X42,X69+X84+X99)</f>
        <v>12005.348199300015</v>
      </c>
      <c r="Y51" s="733">
        <f>IF('Project Assumptions'!$I$34="Normal",Y26+Y34+Y42,Y69+Y84+Y99)</f>
        <v>1.6370904631912708E-11</v>
      </c>
      <c r="Z51" s="733">
        <f>IF('Project Assumptions'!$I$34="Normal",Z26+Z34+Z42,Z69+Z84+Z99)</f>
        <v>1.6370904631912708E-11</v>
      </c>
      <c r="AA51" s="733">
        <f>IF('Project Assumptions'!$I$34="Normal",AA26+AA34+AA42,AA69+AA84+AA99)</f>
        <v>1.6370904631912708E-11</v>
      </c>
      <c r="AB51" s="733">
        <f>IF('Project Assumptions'!$I$34="Normal",AB26+AB34+AB42,AB69+AB84+AB99)</f>
        <v>1.6370904631912708E-11</v>
      </c>
      <c r="AC51" s="797">
        <f>IF('Project Assumptions'!$I$34="Normal",AC26+AC34+AC42,AC69+AC84+AC99)</f>
        <v>1.6370904631912708E-11</v>
      </c>
      <c r="AD51" s="742"/>
      <c r="AE51" s="742"/>
      <c r="AF51" s="742"/>
      <c r="AG51" s="742"/>
      <c r="AH51" s="742"/>
      <c r="AI51" s="742"/>
    </row>
    <row r="52" spans="1:35" s="48" customFormat="1">
      <c r="A52" s="796" t="s">
        <v>99</v>
      </c>
      <c r="B52" s="738"/>
      <c r="C52" s="738"/>
      <c r="D52" s="738"/>
      <c r="E52" s="755">
        <f>IF('Project Assumptions'!$I$34="Normal",E27+E35+E43,E70+E85+E100)</f>
        <v>10153.804410566998</v>
      </c>
      <c r="F52" s="755">
        <f>IF('Project Assumptions'!$I$34="Normal",F27+F35+F43,F70+F85+F100)</f>
        <v>9802.0137062519971</v>
      </c>
      <c r="G52" s="755">
        <f>IF('Project Assumptions'!$I$34="Normal",G27+G35+G43,G70+G85+G100)</f>
        <v>9450.2230019369981</v>
      </c>
      <c r="H52" s="755">
        <f>IF('Project Assumptions'!$I$34="Normal",H27+H35+H43,H70+H85+H100)</f>
        <v>8949.9347716927477</v>
      </c>
      <c r="I52" s="755">
        <f>IF('Project Assumptions'!$I$34="Normal",I27+I35+I43,I70+I85+I100)</f>
        <v>8301.1490155192478</v>
      </c>
      <c r="J52" s="755">
        <f>IF('Project Assumptions'!$I$34="Normal",J27+J35+J43,J70+J85+J100)</f>
        <v>7888.6201421663091</v>
      </c>
      <c r="K52" s="755">
        <f>IF('Project Assumptions'!$I$34="Normal",K27+K35+K43,K70+K85+K100)</f>
        <v>7476.0912688133703</v>
      </c>
      <c r="L52" s="755">
        <f>IF('Project Assumptions'!$I$34="Normal",L27+L35+L43,L70+L85+L100)</f>
        <v>7005.7954847132096</v>
      </c>
      <c r="M52" s="755">
        <f>IF('Project Assumptions'!$I$34="Normal",M27+M35+M43,M70+M85+M100)</f>
        <v>6535.4997006130498</v>
      </c>
      <c r="N52" s="755">
        <f>IF('Project Assumptions'!$I$34="Normal",N27+N35+N43,N70+N85+N100)</f>
        <v>5768.2088646543889</v>
      </c>
      <c r="O52" s="755">
        <f>IF('Project Assumptions'!$I$34="Normal",O27+O35+O43,O70+O85+O100)</f>
        <v>4794.6535920192591</v>
      </c>
      <c r="P52" s="755">
        <f>IF('Project Assumptions'!$I$34="Normal",P27+P35+P43,P70+P85+P100)</f>
        <v>4563.5859490303792</v>
      </c>
      <c r="Q52" s="755">
        <f>IF('Project Assumptions'!$I$34="Normal",Q27+Q35+Q43,Q70+Q85+Q100)</f>
        <v>4274.75139529428</v>
      </c>
      <c r="R52" s="755">
        <f>IF('Project Assumptions'!$I$34="Normal",R27+R35+R43,R70+R85+R100)</f>
        <v>3985.9168415581798</v>
      </c>
      <c r="S52" s="755">
        <f>IF('Project Assumptions'!$I$34="Normal",S27+S35+S43,S70+S85+S100)</f>
        <v>3697.0822878220802</v>
      </c>
      <c r="T52" s="755">
        <f>IF('Project Assumptions'!$I$34="Normal",T27+T35+T43,T70+T85+T100)</f>
        <v>3408.2477340859805</v>
      </c>
      <c r="U52" s="755">
        <f>IF('Project Assumptions'!$I$34="Normal",U27+U35+U43,U70+U85+U100)</f>
        <v>3119.4131803498808</v>
      </c>
      <c r="V52" s="755">
        <f>IF('Project Assumptions'!$I$34="Normal",V27+V35+V43,V70+V85+V100)</f>
        <v>2541.7440728776805</v>
      </c>
      <c r="W52" s="755">
        <f>IF('Project Assumptions'!$I$34="Normal",W27+W35+W43,W70+W85+W100)</f>
        <v>1848.541143911041</v>
      </c>
      <c r="X52" s="755">
        <f>IF('Project Assumptions'!$I$34="Normal",X27+X35+X43,X70+X85+X100)</f>
        <v>982.03748270274116</v>
      </c>
      <c r="Y52" s="755">
        <f>IF('Project Assumptions'!$I$34="Normal",Y27+Y35+Y43,Y70+Y85+Y100)</f>
        <v>1.3391399988904595E-12</v>
      </c>
      <c r="Z52" s="755">
        <f>IF('Project Assumptions'!$I$34="Normal",Z27+Z35+Z43,Z70+Z85+Z100)</f>
        <v>1.3391399988904595E-12</v>
      </c>
      <c r="AA52" s="755">
        <f>IF('Project Assumptions'!$I$34="Normal",AA27+AA35+AA43,AA70+AA85+AA100)</f>
        <v>1.3391399988904595E-12</v>
      </c>
      <c r="AB52" s="755">
        <f>IF('Project Assumptions'!$I$34="Normal",AB27+AB35+AB43,AB70+AB85+AB100)</f>
        <v>1.3391399988904595E-12</v>
      </c>
      <c r="AC52" s="798">
        <f>IF('Project Assumptions'!$I$34="Normal",AC27+AC35+AC43,AC70+AC85+AC100)</f>
        <v>1.3391399988904595E-12</v>
      </c>
      <c r="AD52" s="742"/>
      <c r="AE52" s="742"/>
      <c r="AF52" s="742"/>
      <c r="AG52" s="742"/>
      <c r="AH52" s="742"/>
      <c r="AI52" s="742"/>
    </row>
    <row r="53" spans="1:35" s="48" customFormat="1">
      <c r="A53" s="796" t="s">
        <v>100</v>
      </c>
      <c r="B53" s="738"/>
      <c r="C53" s="738"/>
      <c r="D53" s="738"/>
      <c r="E53" s="755">
        <f>IF('Project Assumptions'!$I$34="Normal",E28+E36+E44,E71+E86+E101)</f>
        <v>5231.0885399999997</v>
      </c>
      <c r="F53" s="755">
        <f>IF('Project Assumptions'!$I$34="Normal",F28+F36+F44,F71+F86+F101)</f>
        <v>5231.0885399999997</v>
      </c>
      <c r="G53" s="755">
        <f>IF('Project Assumptions'!$I$34="Normal",G28+G36+G44,G71+G86+G101)</f>
        <v>7192.7467424999995</v>
      </c>
      <c r="H53" s="755">
        <f>IF('Project Assumptions'!$I$34="Normal",H28+H36+H44,H71+H86+H101)</f>
        <v>9154.4049449999984</v>
      </c>
      <c r="I53" s="755">
        <f>IF('Project Assumptions'!$I$34="Normal",I28+I36+I44,I71+I86+I101)</f>
        <v>5335.7103107999992</v>
      </c>
      <c r="J53" s="755">
        <f>IF('Project Assumptions'!$I$34="Normal",J28+J36+J44,J71+J86+J101)</f>
        <v>5335.7103107999992</v>
      </c>
      <c r="K53" s="755">
        <f>IF('Project Assumptions'!$I$34="Normal",K28+K36+K44,K71+K86+K101)</f>
        <v>6041.907263699999</v>
      </c>
      <c r="L53" s="755">
        <f>IF('Project Assumptions'!$I$34="Normal",L28+L36+L44,L71+L86+L101)</f>
        <v>6041.907263699999</v>
      </c>
      <c r="M53" s="755">
        <f>IF('Project Assumptions'!$I$34="Normal",M28+M36+M44,M71+M86+M101)</f>
        <v>9965.2236686999986</v>
      </c>
      <c r="N53" s="755">
        <f>IF('Project Assumptions'!$I$34="Normal",N28+N36+N44,N71+N86+N101)</f>
        <v>12633.078824099997</v>
      </c>
      <c r="O53" s="755">
        <f>IF('Project Assumptions'!$I$34="Normal",O28+O36+O44,O71+O86+O101)</f>
        <v>2824.7878115999997</v>
      </c>
      <c r="P53" s="755">
        <f>IF('Project Assumptions'!$I$34="Normal",P28+P36+P44,P71+P86+P101)</f>
        <v>3530.9847644999995</v>
      </c>
      <c r="Q53" s="755">
        <f>IF('Project Assumptions'!$I$34="Normal",Q28+Q36+Q44,Q71+Q86+Q101)</f>
        <v>3530.9847644999995</v>
      </c>
      <c r="R53" s="755">
        <f>IF('Project Assumptions'!$I$34="Normal",R28+R36+R44,R71+R86+R101)</f>
        <v>3530.9847644999995</v>
      </c>
      <c r="S53" s="755">
        <f>IF('Project Assumptions'!$I$34="Normal",S28+S36+S44,S71+S86+S101)</f>
        <v>3530.9847644999995</v>
      </c>
      <c r="T53" s="755">
        <f>IF('Project Assumptions'!$I$34="Normal",T28+T36+T44,T71+T86+T101)</f>
        <v>3530.9847644999995</v>
      </c>
      <c r="U53" s="755">
        <f>IF('Project Assumptions'!$I$34="Normal",U28+U36+U44,U71+U86+U101)</f>
        <v>7061.9695289999991</v>
      </c>
      <c r="V53" s="755">
        <f>IF('Project Assumptions'!$I$34="Normal",V28+V36+V44,V71+V86+V101)</f>
        <v>8474.3634347999978</v>
      </c>
      <c r="W53" s="755">
        <f>IF('Project Assumptions'!$I$34="Normal",W28+W36+W44,W71+W86+W101)</f>
        <v>10592.954293499997</v>
      </c>
      <c r="X53" s="755">
        <f>IF('Project Assumptions'!$I$34="Normal",X28+X36+X44,X71+X86+X101)</f>
        <v>12005.348199299999</v>
      </c>
      <c r="Y53" s="755">
        <f>IF('Project Assumptions'!$I$34="Normal",Y28+Y36+Y44,Y71+Y86+Y101)</f>
        <v>0</v>
      </c>
      <c r="Z53" s="755">
        <f>IF('Project Assumptions'!$I$34="Normal",Z28+Z36+Z44,Z71+Z86+Z101)</f>
        <v>0</v>
      </c>
      <c r="AA53" s="755">
        <f>IF('Project Assumptions'!$I$34="Normal",AA28+AA36+AA44,AA71+AA86+AA101)</f>
        <v>0</v>
      </c>
      <c r="AB53" s="755">
        <f>IF('Project Assumptions'!$I$34="Normal",AB28+AB36+AB44,AB71+AB86+AB101)</f>
        <v>0</v>
      </c>
      <c r="AC53" s="798">
        <f>IF('Project Assumptions'!$I$34="Normal",AC28+AC36+AC44,AC71+AC86+AC101)</f>
        <v>0</v>
      </c>
      <c r="AD53" s="742"/>
      <c r="AE53" s="742"/>
      <c r="AF53" s="742"/>
      <c r="AG53" s="742"/>
      <c r="AH53" s="742"/>
      <c r="AI53" s="742"/>
    </row>
    <row r="54" spans="1:35" s="48" customFormat="1">
      <c r="A54" s="796" t="s">
        <v>101</v>
      </c>
      <c r="B54" s="738"/>
      <c r="C54" s="738"/>
      <c r="D54" s="738"/>
      <c r="E54" s="755">
        <f>IF('Project Assumptions'!$I$34="Normal",E29+E37+E45,E72+E87+E102)</f>
        <v>15384.892950566998</v>
      </c>
      <c r="F54" s="755">
        <f>IF('Project Assumptions'!$I$34="Normal",F29+F37+F45,F72+F87+F102)</f>
        <v>15033.102246251998</v>
      </c>
      <c r="G54" s="755">
        <f>IF('Project Assumptions'!$I$34="Normal",G29+G37+G45,G72+G87+G102)</f>
        <v>16642.969744436996</v>
      </c>
      <c r="H54" s="755">
        <f>IF('Project Assumptions'!$I$34="Normal",H29+H37+H45,H72+H87+H102)</f>
        <v>18104.339716692746</v>
      </c>
      <c r="I54" s="755">
        <f>IF('Project Assumptions'!$I$34="Normal",I29+I37+I45,I72+I87+I102)</f>
        <v>13636.859326319249</v>
      </c>
      <c r="J54" s="755">
        <f>IF('Project Assumptions'!$I$34="Normal",J29+J37+J45,J72+J87+J102)</f>
        <v>13224.330452966307</v>
      </c>
      <c r="K54" s="755">
        <f>IF('Project Assumptions'!$I$34="Normal",K29+K37+K45,K72+K87+K102)</f>
        <v>13517.998532513369</v>
      </c>
      <c r="L54" s="755">
        <f>IF('Project Assumptions'!$I$34="Normal",L29+L37+L45,L72+L87+L102)</f>
        <v>13047.702748413209</v>
      </c>
      <c r="M54" s="755">
        <f>IF('Project Assumptions'!$I$34="Normal",M29+M37+M45,M72+M87+M102)</f>
        <v>16500.723369313047</v>
      </c>
      <c r="N54" s="755">
        <f>IF('Project Assumptions'!$I$34="Normal",N29+N37+N45,N72+N87+N102)</f>
        <v>18401.287688754386</v>
      </c>
      <c r="O54" s="755">
        <f>IF('Project Assumptions'!$I$34="Normal",O29+O37+O45,O72+O87+O102)</f>
        <v>7619.4414036192593</v>
      </c>
      <c r="P54" s="755">
        <f>IF('Project Assumptions'!$I$34="Normal",P29+P37+P45,P72+P87+P102)</f>
        <v>8094.5707135303783</v>
      </c>
      <c r="Q54" s="755">
        <f>IF('Project Assumptions'!$I$34="Normal",Q29+Q37+Q45,Q72+Q87+Q102)</f>
        <v>7805.73615979428</v>
      </c>
      <c r="R54" s="755">
        <f>IF('Project Assumptions'!$I$34="Normal",R29+R37+R45,R72+R87+R102)</f>
        <v>7516.9016060581798</v>
      </c>
      <c r="S54" s="755">
        <f>IF('Project Assumptions'!$I$34="Normal",S29+S37+S45,S72+S87+S102)</f>
        <v>7228.0670523220797</v>
      </c>
      <c r="T54" s="755">
        <f>IF('Project Assumptions'!$I$34="Normal",T29+T37+T45,T72+T87+T102)</f>
        <v>6939.2324985859796</v>
      </c>
      <c r="U54" s="755">
        <f>IF('Project Assumptions'!$I$34="Normal",U29+U37+U45,U72+U87+U102)</f>
        <v>10181.38270934988</v>
      </c>
      <c r="V54" s="755">
        <f>IF('Project Assumptions'!$I$34="Normal",V29+V37+V45,V72+V87+V102)</f>
        <v>11016.107507677678</v>
      </c>
      <c r="W54" s="755">
        <f>IF('Project Assumptions'!$I$34="Normal",W29+W37+W45,W72+W87+W102)</f>
        <v>12441.495437411038</v>
      </c>
      <c r="X54" s="755">
        <f>IF('Project Assumptions'!$I$34="Normal",X29+X37+X45,X72+X87+X102)</f>
        <v>12987.385682002739</v>
      </c>
      <c r="Y54" s="755">
        <f>IF('Project Assumptions'!$I$34="Normal",Y29+Y37+Y45,Y72+Y87+Y102)</f>
        <v>1.3391399988904595E-12</v>
      </c>
      <c r="Z54" s="755">
        <f>IF('Project Assumptions'!$I$34="Normal",Z29+Z37+Z45,Z72+Z87+Z102)</f>
        <v>1.3391399988904595E-12</v>
      </c>
      <c r="AA54" s="755">
        <f>IF('Project Assumptions'!$I$34="Normal",AA29+AA37+AA45,AA72+AA87+AA102)</f>
        <v>1.3391399988904595E-12</v>
      </c>
      <c r="AB54" s="755">
        <f>IF('Project Assumptions'!$I$34="Normal",AB29+AB37+AB45,AB72+AB87+AB102)</f>
        <v>1.3391399988904595E-12</v>
      </c>
      <c r="AC54" s="798">
        <f>IF('Project Assumptions'!$I$34="Normal",AC29+AC37+AC45,AC72+AC87+AC102)</f>
        <v>1.3391399988904595E-12</v>
      </c>
      <c r="AD54" s="742"/>
      <c r="AE54" s="742"/>
      <c r="AF54" s="742"/>
      <c r="AG54" s="742"/>
      <c r="AH54" s="742"/>
      <c r="AI54" s="742"/>
    </row>
    <row r="55" spans="1:35" s="48" customFormat="1" ht="12.6" customHeight="1">
      <c r="A55" s="796" t="s">
        <v>102</v>
      </c>
      <c r="B55" s="799"/>
      <c r="C55" s="799"/>
      <c r="D55" s="738"/>
      <c r="E55" s="733">
        <f>IF('Project Assumptions'!$I$34="Normal",E30+E38+E46,E73+E88+E103)</f>
        <v>125546.12495999999</v>
      </c>
      <c r="F55" s="733">
        <f>IF('Project Assumptions'!$I$34="Normal",F30+F38+F46,F73+F88+F103)</f>
        <v>120315.03641999997</v>
      </c>
      <c r="G55" s="733">
        <f>IF('Project Assumptions'!$I$34="Normal",G30+G38+G46,G73+G88+G103)</f>
        <v>113122.28967749997</v>
      </c>
      <c r="H55" s="733">
        <f>IF('Project Assumptions'!$I$34="Normal",H30+H38+H46,H73+H88+H103)</f>
        <v>103967.88473249998</v>
      </c>
      <c r="I55" s="733">
        <f>IF('Project Assumptions'!$I$34="Normal",I30+I38+I46,I73+I88+I103)</f>
        <v>98632.17442169998</v>
      </c>
      <c r="J55" s="733">
        <f>IF('Project Assumptions'!$I$34="Normal",J30+J38+J46,J73+J88+J103)</f>
        <v>93296.464110899993</v>
      </c>
      <c r="K55" s="733">
        <f>IF('Project Assumptions'!$I$34="Normal",K30+K38+K46,K73+K88+K103)</f>
        <v>87254.556847200001</v>
      </c>
      <c r="L55" s="733">
        <f>IF('Project Assumptions'!$I$34="Normal",L30+L38+L46,L73+L88+L103)</f>
        <v>81212.649583499995</v>
      </c>
      <c r="M55" s="733">
        <f>IF('Project Assumptions'!$I$34="Normal",M30+M38+M46,M73+M88+M103)</f>
        <v>71247.425914799998</v>
      </c>
      <c r="N55" s="733">
        <f>IF('Project Assumptions'!$I$34="Normal",N30+N38+N46,N73+N88+N103)</f>
        <v>58614.347090699994</v>
      </c>
      <c r="O55" s="733">
        <f>IF('Project Assumptions'!$I$34="Normal",O30+O38+O46,O73+O88+O103)</f>
        <v>55789.559279099994</v>
      </c>
      <c r="P55" s="733">
        <f>IF('Project Assumptions'!$I$34="Normal",P30+P38+P46,P73+P88+P103)</f>
        <v>52258.574514599997</v>
      </c>
      <c r="Q55" s="733">
        <f>IF('Project Assumptions'!$I$34="Normal",Q30+Q38+Q46,Q73+Q88+Q103)</f>
        <v>48727.5897501</v>
      </c>
      <c r="R55" s="733">
        <f>IF('Project Assumptions'!$I$34="Normal",R30+R38+R46,R73+R88+R103)</f>
        <v>45196.604985600003</v>
      </c>
      <c r="S55" s="733">
        <f>IF('Project Assumptions'!$I$34="Normal",S30+S38+S46,S73+S88+S103)</f>
        <v>41665.620221100005</v>
      </c>
      <c r="T55" s="733">
        <f>IF('Project Assumptions'!$I$34="Normal",T30+T38+T46,T73+T88+T103)</f>
        <v>38134.635456600008</v>
      </c>
      <c r="U55" s="733">
        <f>IF('Project Assumptions'!$I$34="Normal",U30+U38+U46,U73+U88+U103)</f>
        <v>31072.66592760001</v>
      </c>
      <c r="V55" s="733">
        <f>IF('Project Assumptions'!$I$34="Normal",V30+V38+V46,V73+V88+V103)</f>
        <v>22598.302492800012</v>
      </c>
      <c r="W55" s="733">
        <f>IF('Project Assumptions'!$I$34="Normal",W30+W38+W46,W73+W88+W103)</f>
        <v>12005.348199300015</v>
      </c>
      <c r="X55" s="733">
        <f>IF('Project Assumptions'!$I$34="Normal",X30+X38+X46,X73+X88+X103)</f>
        <v>1.6370904631912708E-11</v>
      </c>
      <c r="Y55" s="733">
        <f>IF('Project Assumptions'!$I$34="Normal",Y30+Y38+Y46,Y73+Y88+Y103)</f>
        <v>1.6370904631912708E-11</v>
      </c>
      <c r="Z55" s="733">
        <f>IF('Project Assumptions'!$I$34="Normal",Z30+Z38+Z46,Z73+Z88+Z103)</f>
        <v>1.6370904631912708E-11</v>
      </c>
      <c r="AA55" s="733">
        <f>IF('Project Assumptions'!$I$34="Normal",AA30+AA38+AA46,AA73+AA88+AA103)</f>
        <v>1.6370904631912708E-11</v>
      </c>
      <c r="AB55" s="733">
        <f>IF('Project Assumptions'!$I$34="Normal",AB30+AB38+AB46,AB73+AB88+AB103)</f>
        <v>1.6370904631912708E-11</v>
      </c>
      <c r="AC55" s="797">
        <f>IF('Project Assumptions'!$I$34="Normal",AC30+AC38+AC46,AC73+AC88+AC103)</f>
        <v>1.6370904631912708E-11</v>
      </c>
      <c r="AD55" s="742"/>
      <c r="AE55" s="742"/>
      <c r="AF55" s="742"/>
      <c r="AG55" s="742"/>
      <c r="AH55" s="742"/>
      <c r="AI55" s="742"/>
    </row>
    <row r="56" spans="1:35" s="48" customFormat="1" ht="12.6" customHeight="1">
      <c r="A56" s="796" t="s">
        <v>212</v>
      </c>
      <c r="B56" s="799"/>
      <c r="C56" s="799"/>
      <c r="D56" s="738"/>
      <c r="E56" s="800">
        <f>IF('Project Assumptions'!$I$34="Normal",SUMPRODUCT(E4:AC4,E53:AC53)/B22,SUMPRODUCT(E4:AC4,E53:AC53)/('Debt Amortization'!C69+'Debt Amortization'!C84+'Debt Amortization'!C99))</f>
        <v>10.945600000000001</v>
      </c>
      <c r="F56" s="755"/>
      <c r="G56" s="755"/>
      <c r="H56" s="755"/>
      <c r="I56" s="755"/>
      <c r="J56" s="755"/>
      <c r="K56" s="755"/>
      <c r="L56" s="755"/>
      <c r="M56" s="755"/>
      <c r="N56" s="755"/>
      <c r="O56" s="755"/>
      <c r="P56" s="755"/>
      <c r="Q56" s="755"/>
      <c r="R56" s="755"/>
      <c r="S56" s="755"/>
      <c r="T56" s="755"/>
      <c r="U56" s="755"/>
      <c r="V56" s="755"/>
      <c r="W56" s="755"/>
      <c r="X56" s="755"/>
      <c r="Y56" s="755"/>
      <c r="Z56" s="755"/>
      <c r="AA56" s="755"/>
      <c r="AB56" s="755"/>
      <c r="AC56" s="798"/>
      <c r="AD56" s="742"/>
      <c r="AE56" s="742"/>
      <c r="AF56" s="742"/>
      <c r="AG56" s="742"/>
      <c r="AH56" s="742"/>
      <c r="AI56" s="742"/>
    </row>
    <row r="57" spans="1:35" s="49" customFormat="1" ht="12.6" customHeight="1">
      <c r="A57" s="801"/>
      <c r="B57" s="802"/>
      <c r="C57" s="802"/>
      <c r="D57" s="148"/>
      <c r="E57" s="803"/>
      <c r="F57" s="803"/>
      <c r="G57" s="803"/>
      <c r="H57" s="803"/>
      <c r="I57" s="803"/>
      <c r="J57" s="803"/>
      <c r="K57" s="803"/>
      <c r="L57" s="803"/>
      <c r="M57" s="803"/>
      <c r="N57" s="803"/>
      <c r="O57" s="803"/>
      <c r="P57" s="803"/>
      <c r="Q57" s="803"/>
      <c r="R57" s="803"/>
      <c r="S57" s="803"/>
      <c r="T57" s="803"/>
      <c r="U57" s="803"/>
      <c r="V57" s="803"/>
      <c r="W57" s="803"/>
      <c r="X57" s="803"/>
      <c r="Y57" s="803"/>
      <c r="Z57" s="803"/>
      <c r="AA57" s="803"/>
      <c r="AB57" s="803"/>
      <c r="AC57" s="804"/>
      <c r="AD57" s="247"/>
      <c r="AE57" s="247"/>
      <c r="AF57" s="247"/>
      <c r="AG57" s="247"/>
      <c r="AH57" s="247"/>
      <c r="AI57" s="247"/>
    </row>
    <row r="58" spans="1:35" s="49" customFormat="1" ht="12.6" customHeight="1" thickBot="1">
      <c r="A58" s="805" t="s">
        <v>211</v>
      </c>
      <c r="B58" s="806"/>
      <c r="C58" s="806"/>
      <c r="D58" s="807"/>
      <c r="E58" s="808">
        <f t="shared" ref="E58:AC58" si="3">E45+E37+E29</f>
        <v>9808.7167167348416</v>
      </c>
      <c r="F58" s="808">
        <f t="shared" si="3"/>
        <v>16939.936843431678</v>
      </c>
      <c r="G58" s="808">
        <f t="shared" si="3"/>
        <v>16888.879710807239</v>
      </c>
      <c r="H58" s="808">
        <f t="shared" si="3"/>
        <v>20662.377196994225</v>
      </c>
      <c r="I58" s="808">
        <f t="shared" si="3"/>
        <v>12289.932134554449</v>
      </c>
      <c r="J58" s="808">
        <f t="shared" si="3"/>
        <v>12408.513987177832</v>
      </c>
      <c r="K58" s="808">
        <f t="shared" si="3"/>
        <v>12523.065926241348</v>
      </c>
      <c r="L58" s="808">
        <f t="shared" si="3"/>
        <v>12901.554097234348</v>
      </c>
      <c r="M58" s="808">
        <f t="shared" si="3"/>
        <v>13015.032809467726</v>
      </c>
      <c r="N58" s="808">
        <f t="shared" si="3"/>
        <v>13408.279986957514</v>
      </c>
      <c r="O58" s="808">
        <f t="shared" si="3"/>
        <v>13520.129901955719</v>
      </c>
      <c r="P58" s="808">
        <f t="shared" si="3"/>
        <v>13928.529992220152</v>
      </c>
      <c r="Q58" s="808">
        <f t="shared" si="3"/>
        <v>14038.131851497228</v>
      </c>
      <c r="R58" s="808">
        <f t="shared" si="3"/>
        <v>14141.690259541752</v>
      </c>
      <c r="S58" s="808">
        <f t="shared" si="3"/>
        <v>14238.743967606428</v>
      </c>
      <c r="T58" s="808">
        <f t="shared" si="3"/>
        <v>14328.809491125226</v>
      </c>
      <c r="U58" s="808">
        <f t="shared" si="3"/>
        <v>14411.380190688133</v>
      </c>
      <c r="V58" s="808">
        <f t="shared" si="3"/>
        <v>14485.925317886629</v>
      </c>
      <c r="W58" s="808">
        <f t="shared" si="3"/>
        <v>14551.889024749242</v>
      </c>
      <c r="X58" s="808">
        <f t="shared" si="3"/>
        <v>14608.689335441337</v>
      </c>
      <c r="Y58" s="808">
        <f t="shared" si="3"/>
        <v>0</v>
      </c>
      <c r="Z58" s="808">
        <f t="shared" si="3"/>
        <v>0</v>
      </c>
      <c r="AA58" s="808">
        <f t="shared" si="3"/>
        <v>0</v>
      </c>
      <c r="AB58" s="808">
        <f t="shared" si="3"/>
        <v>0</v>
      </c>
      <c r="AC58" s="809">
        <f t="shared" si="3"/>
        <v>0</v>
      </c>
      <c r="AD58" s="247"/>
      <c r="AE58" s="247"/>
      <c r="AF58" s="247"/>
      <c r="AG58" s="247"/>
      <c r="AH58" s="247"/>
      <c r="AI58" s="247"/>
    </row>
    <row r="59" spans="1:35" s="49" customFormat="1" ht="12.6" customHeight="1">
      <c r="A59" s="247"/>
      <c r="B59" s="278"/>
      <c r="C59" s="278"/>
      <c r="D59" s="247"/>
      <c r="E59" s="766"/>
      <c r="F59" s="766"/>
      <c r="G59" s="766"/>
      <c r="H59" s="766"/>
      <c r="I59" s="766"/>
      <c r="J59" s="766"/>
      <c r="K59" s="766"/>
      <c r="L59" s="766"/>
      <c r="M59" s="766"/>
      <c r="N59" s="766"/>
      <c r="O59" s="766"/>
      <c r="P59" s="766"/>
      <c r="Q59" s="766"/>
      <c r="R59" s="766"/>
      <c r="S59" s="766"/>
      <c r="T59" s="766"/>
      <c r="U59" s="766"/>
      <c r="V59" s="766"/>
      <c r="W59" s="766"/>
      <c r="X59" s="766"/>
      <c r="Y59" s="766"/>
      <c r="Z59" s="766"/>
      <c r="AA59" s="766"/>
      <c r="AB59" s="766"/>
      <c r="AC59" s="766"/>
      <c r="AD59" s="247"/>
      <c r="AE59" s="247"/>
      <c r="AF59" s="247"/>
      <c r="AG59" s="247"/>
      <c r="AH59" s="247"/>
      <c r="AI59" s="247"/>
    </row>
    <row r="60" spans="1:35" s="49" customFormat="1" ht="12.6" customHeight="1">
      <c r="A60" s="247"/>
      <c r="B60" s="278"/>
      <c r="C60" s="278"/>
      <c r="D60" s="247"/>
      <c r="E60" s="766"/>
      <c r="F60" s="766"/>
      <c r="G60" s="766"/>
      <c r="H60" s="766"/>
      <c r="I60" s="766"/>
      <c r="J60" s="766"/>
      <c r="K60" s="766"/>
      <c r="L60" s="766"/>
      <c r="M60" s="766"/>
      <c r="N60" s="766"/>
      <c r="O60" s="766"/>
      <c r="P60" s="766"/>
      <c r="Q60" s="766"/>
      <c r="R60" s="766"/>
      <c r="S60" s="766"/>
      <c r="T60" s="766"/>
      <c r="U60" s="766"/>
      <c r="V60" s="766"/>
      <c r="W60" s="766"/>
      <c r="X60" s="766"/>
      <c r="Y60" s="766"/>
      <c r="Z60" s="766"/>
      <c r="AA60" s="766"/>
      <c r="AB60" s="766"/>
      <c r="AC60" s="766"/>
      <c r="AD60" s="247"/>
      <c r="AE60" s="247"/>
      <c r="AF60" s="247"/>
      <c r="AG60" s="247"/>
      <c r="AH60" s="247"/>
      <c r="AI60" s="247"/>
    </row>
    <row r="61" spans="1:35" s="49" customFormat="1" ht="12.6" customHeight="1">
      <c r="A61" s="247"/>
      <c r="B61" s="278"/>
      <c r="C61" s="278"/>
      <c r="D61" s="247"/>
      <c r="E61" s="766"/>
      <c r="F61" s="766"/>
      <c r="G61" s="766"/>
      <c r="H61" s="766"/>
      <c r="I61" s="766"/>
      <c r="J61" s="766"/>
      <c r="K61" s="766"/>
      <c r="L61" s="766"/>
      <c r="M61" s="766"/>
      <c r="N61" s="766"/>
      <c r="O61" s="766"/>
      <c r="P61" s="766"/>
      <c r="Q61" s="766"/>
      <c r="R61" s="766"/>
      <c r="S61" s="766"/>
      <c r="T61" s="766"/>
      <c r="U61" s="766"/>
      <c r="V61" s="766"/>
      <c r="W61" s="766"/>
      <c r="X61" s="766"/>
      <c r="Y61" s="766"/>
      <c r="Z61" s="766"/>
      <c r="AA61" s="766"/>
      <c r="AB61" s="766"/>
      <c r="AC61" s="766"/>
      <c r="AD61" s="247"/>
      <c r="AE61" s="247"/>
      <c r="AF61" s="247"/>
      <c r="AG61" s="247"/>
      <c r="AH61" s="247"/>
      <c r="AI61" s="247"/>
    </row>
    <row r="62" spans="1:35" s="49" customFormat="1" ht="12.6" customHeight="1">
      <c r="A62" s="248" t="s">
        <v>592</v>
      </c>
      <c r="B62" s="247"/>
      <c r="C62" s="247"/>
      <c r="D62" s="247"/>
      <c r="E62" s="247"/>
      <c r="F62" s="247"/>
      <c r="G62" s="247"/>
      <c r="H62" s="247"/>
      <c r="I62" s="247"/>
      <c r="J62" s="247"/>
      <c r="K62" s="247"/>
      <c r="L62" s="247"/>
      <c r="M62" s="247"/>
      <c r="N62" s="247"/>
      <c r="O62" s="247"/>
      <c r="P62" s="247"/>
      <c r="Q62" s="247"/>
      <c r="R62" s="247"/>
      <c r="S62" s="247"/>
      <c r="T62" s="247"/>
      <c r="U62" s="247"/>
      <c r="V62" s="247"/>
      <c r="W62" s="247"/>
      <c r="X62" s="247"/>
      <c r="Y62" s="247"/>
      <c r="Z62" s="247"/>
      <c r="AA62" s="247"/>
      <c r="AB62" s="247"/>
      <c r="AC62" s="247"/>
      <c r="AD62" s="247"/>
      <c r="AE62" s="247"/>
      <c r="AF62" s="247"/>
      <c r="AG62" s="247"/>
      <c r="AH62" s="247"/>
      <c r="AI62" s="247"/>
    </row>
    <row r="63" spans="1:35" s="49" customFormat="1" ht="12.6" customHeight="1">
      <c r="A63" s="555" t="s">
        <v>593</v>
      </c>
      <c r="B63" s="1006">
        <f>Principal1</f>
        <v>20924.354159999999</v>
      </c>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7"/>
      <c r="AC63" s="247"/>
      <c r="AD63" s="247"/>
      <c r="AE63" s="247"/>
      <c r="AF63" s="247"/>
      <c r="AG63" s="247"/>
      <c r="AH63" s="247"/>
      <c r="AI63" s="247"/>
    </row>
    <row r="64" spans="1:35">
      <c r="A64" s="560" t="s">
        <v>208</v>
      </c>
      <c r="B64" s="1007">
        <f>_Int1</f>
        <v>6.724999999999999E-2</v>
      </c>
    </row>
    <row r="65" spans="1:53">
      <c r="A65" s="560" t="s">
        <v>191</v>
      </c>
      <c r="B65" s="559">
        <f>Term1</f>
        <v>4</v>
      </c>
    </row>
    <row r="66" spans="1:53" ht="12.6" customHeight="1">
      <c r="A66" s="774" t="s">
        <v>594</v>
      </c>
      <c r="B66" s="552">
        <f>Grace1</f>
        <v>2</v>
      </c>
      <c r="E66" s="251">
        <f>E4</f>
        <v>1</v>
      </c>
      <c r="F66" s="251">
        <f t="shared" ref="F66:AC66" si="4">F4</f>
        <v>2</v>
      </c>
      <c r="G66" s="251">
        <f t="shared" si="4"/>
        <v>3</v>
      </c>
      <c r="H66" s="251">
        <f t="shared" si="4"/>
        <v>4</v>
      </c>
      <c r="I66" s="251">
        <f t="shared" si="4"/>
        <v>5</v>
      </c>
      <c r="J66" s="251">
        <f t="shared" si="4"/>
        <v>6</v>
      </c>
      <c r="K66" s="251">
        <f t="shared" si="4"/>
        <v>7</v>
      </c>
      <c r="L66" s="251">
        <f t="shared" si="4"/>
        <v>8</v>
      </c>
      <c r="M66" s="251">
        <f t="shared" si="4"/>
        <v>9</v>
      </c>
      <c r="N66" s="251">
        <f t="shared" si="4"/>
        <v>10</v>
      </c>
      <c r="O66" s="251">
        <f t="shared" si="4"/>
        <v>11</v>
      </c>
      <c r="P66" s="251">
        <f t="shared" si="4"/>
        <v>12</v>
      </c>
      <c r="Q66" s="251">
        <f t="shared" si="4"/>
        <v>13</v>
      </c>
      <c r="R66" s="251">
        <f t="shared" si="4"/>
        <v>14</v>
      </c>
      <c r="S66" s="251">
        <f t="shared" si="4"/>
        <v>15</v>
      </c>
      <c r="T66" s="251">
        <f t="shared" si="4"/>
        <v>16</v>
      </c>
      <c r="U66" s="251">
        <f t="shared" si="4"/>
        <v>17</v>
      </c>
      <c r="V66" s="251">
        <f t="shared" si="4"/>
        <v>18</v>
      </c>
      <c r="W66" s="251">
        <f t="shared" si="4"/>
        <v>19</v>
      </c>
      <c r="X66" s="251">
        <f t="shared" si="4"/>
        <v>20</v>
      </c>
      <c r="Y66" s="251">
        <f t="shared" si="4"/>
        <v>21</v>
      </c>
      <c r="Z66" s="251">
        <f t="shared" si="4"/>
        <v>22</v>
      </c>
      <c r="AA66" s="251">
        <f t="shared" si="4"/>
        <v>23</v>
      </c>
      <c r="AB66" s="251">
        <f t="shared" si="4"/>
        <v>24</v>
      </c>
      <c r="AC66" s="251">
        <f t="shared" si="4"/>
        <v>25</v>
      </c>
    </row>
    <row r="67" spans="1:53" s="1" customFormat="1" ht="12.6" customHeight="1">
      <c r="A67" s="148"/>
      <c r="B67" s="148"/>
      <c r="C67" s="248" t="s">
        <v>595</v>
      </c>
      <c r="D67" s="247"/>
      <c r="E67" s="1008">
        <f>E5</f>
        <v>2000</v>
      </c>
      <c r="F67" s="1008">
        <f t="shared" ref="F67:AC67" si="5">F5</f>
        <v>2001</v>
      </c>
      <c r="G67" s="1008">
        <f t="shared" si="5"/>
        <v>2002</v>
      </c>
      <c r="H67" s="1008">
        <f t="shared" si="5"/>
        <v>2003</v>
      </c>
      <c r="I67" s="1008">
        <f t="shared" si="5"/>
        <v>2004</v>
      </c>
      <c r="J67" s="1008">
        <f t="shared" si="5"/>
        <v>2005</v>
      </c>
      <c r="K67" s="1008">
        <f t="shared" si="5"/>
        <v>2006</v>
      </c>
      <c r="L67" s="1008">
        <f t="shared" si="5"/>
        <v>2007</v>
      </c>
      <c r="M67" s="1008">
        <f t="shared" si="5"/>
        <v>2008</v>
      </c>
      <c r="N67" s="1008">
        <f t="shared" si="5"/>
        <v>2009</v>
      </c>
      <c r="O67" s="1008">
        <f t="shared" si="5"/>
        <v>2010</v>
      </c>
      <c r="P67" s="1008">
        <f t="shared" si="5"/>
        <v>2011</v>
      </c>
      <c r="Q67" s="1008">
        <f t="shared" si="5"/>
        <v>2012</v>
      </c>
      <c r="R67" s="1008">
        <f t="shared" si="5"/>
        <v>2013</v>
      </c>
      <c r="S67" s="1008">
        <f t="shared" si="5"/>
        <v>2014</v>
      </c>
      <c r="T67" s="1008">
        <f t="shared" si="5"/>
        <v>2015</v>
      </c>
      <c r="U67" s="1008">
        <f t="shared" si="5"/>
        <v>2016</v>
      </c>
      <c r="V67" s="1008">
        <f t="shared" si="5"/>
        <v>2017</v>
      </c>
      <c r="W67" s="1008">
        <f t="shared" si="5"/>
        <v>2018</v>
      </c>
      <c r="X67" s="1008">
        <f t="shared" si="5"/>
        <v>2019</v>
      </c>
      <c r="Y67" s="1008">
        <f t="shared" si="5"/>
        <v>2020</v>
      </c>
      <c r="Z67" s="1008">
        <f t="shared" si="5"/>
        <v>2021</v>
      </c>
      <c r="AA67" s="1008">
        <f t="shared" si="5"/>
        <v>2022</v>
      </c>
      <c r="AB67" s="1008">
        <f t="shared" si="5"/>
        <v>2023</v>
      </c>
      <c r="AC67" s="1008">
        <f t="shared" si="5"/>
        <v>2024</v>
      </c>
      <c r="AD67" s="247"/>
      <c r="AE67" s="247"/>
      <c r="AF67" s="247"/>
      <c r="AG67" s="247"/>
      <c r="AH67" s="247"/>
      <c r="AI67" s="247"/>
      <c r="AJ67" s="32"/>
      <c r="AK67" s="32"/>
      <c r="AL67" s="32"/>
      <c r="AM67" s="32"/>
      <c r="AN67" s="32"/>
      <c r="AO67" s="32"/>
      <c r="AP67" s="32"/>
      <c r="AQ67" s="32"/>
      <c r="AR67" s="32"/>
      <c r="AS67" s="32"/>
      <c r="AT67" s="32"/>
      <c r="AU67" s="32"/>
      <c r="AV67" s="32"/>
      <c r="AW67" s="32"/>
      <c r="AX67" s="32"/>
      <c r="AY67" s="32"/>
      <c r="AZ67" s="32"/>
      <c r="BA67" s="32"/>
    </row>
    <row r="68" spans="1:53" s="51" customFormat="1" ht="12.6" customHeight="1">
      <c r="A68" s="1009"/>
      <c r="B68" s="1010"/>
      <c r="C68" s="1010"/>
      <c r="D68" s="1010"/>
      <c r="E68" s="1011"/>
      <c r="F68" s="1011"/>
      <c r="G68" s="1011"/>
      <c r="H68" s="1011"/>
      <c r="I68" s="1011"/>
      <c r="J68" s="1011"/>
      <c r="K68" s="1011"/>
      <c r="L68" s="1011"/>
      <c r="M68" s="1011"/>
      <c r="N68" s="1011"/>
      <c r="O68" s="1011"/>
      <c r="P68" s="1011"/>
      <c r="Q68" s="1011"/>
      <c r="R68" s="1011"/>
      <c r="S68" s="1011"/>
      <c r="T68" s="247"/>
      <c r="U68" s="247"/>
      <c r="V68" s="247"/>
      <c r="W68" s="247"/>
      <c r="X68" s="247"/>
      <c r="Y68" s="247"/>
      <c r="Z68" s="247"/>
      <c r="AA68" s="247"/>
      <c r="AB68" s="247"/>
      <c r="AC68" s="247"/>
      <c r="AD68" s="247"/>
      <c r="AE68" s="247"/>
      <c r="AF68" s="247"/>
      <c r="AG68" s="247"/>
      <c r="AH68" s="247"/>
      <c r="AI68" s="247"/>
    </row>
    <row r="69" spans="1:53" ht="12.6" customHeight="1">
      <c r="A69" s="1012" t="s">
        <v>596</v>
      </c>
      <c r="B69" s="1013"/>
      <c r="C69" s="1014">
        <f>B63</f>
        <v>20924.354159999999</v>
      </c>
      <c r="E69" s="1015">
        <f>C69</f>
        <v>20924.354159999999</v>
      </c>
      <c r="F69" s="1015">
        <f t="shared" ref="F69:AC69" si="6">E73</f>
        <v>15693.265619999998</v>
      </c>
      <c r="G69" s="1015">
        <f t="shared" si="6"/>
        <v>10462.177079999998</v>
      </c>
      <c r="H69" s="1015">
        <f t="shared" si="6"/>
        <v>5231.0885399999979</v>
      </c>
      <c r="I69" s="1015">
        <f t="shared" si="6"/>
        <v>0</v>
      </c>
      <c r="J69" s="1015">
        <f t="shared" si="6"/>
        <v>0</v>
      </c>
      <c r="K69" s="1015">
        <f t="shared" si="6"/>
        <v>0</v>
      </c>
      <c r="L69" s="1015">
        <f t="shared" si="6"/>
        <v>0</v>
      </c>
      <c r="M69" s="1015">
        <f t="shared" si="6"/>
        <v>0</v>
      </c>
      <c r="N69" s="1015">
        <f t="shared" si="6"/>
        <v>0</v>
      </c>
      <c r="O69" s="1015">
        <f t="shared" si="6"/>
        <v>0</v>
      </c>
      <c r="P69" s="1015">
        <f t="shared" si="6"/>
        <v>0</v>
      </c>
      <c r="Q69" s="1015">
        <f t="shared" si="6"/>
        <v>0</v>
      </c>
      <c r="R69" s="1015">
        <f t="shared" si="6"/>
        <v>0</v>
      </c>
      <c r="S69" s="1015">
        <f t="shared" si="6"/>
        <v>0</v>
      </c>
      <c r="T69" s="1015">
        <f t="shared" si="6"/>
        <v>0</v>
      </c>
      <c r="U69" s="1015">
        <f t="shared" si="6"/>
        <v>0</v>
      </c>
      <c r="V69" s="1015">
        <f t="shared" si="6"/>
        <v>0</v>
      </c>
      <c r="W69" s="1015">
        <f t="shared" si="6"/>
        <v>0</v>
      </c>
      <c r="X69" s="1015">
        <f t="shared" si="6"/>
        <v>0</v>
      </c>
      <c r="Y69" s="1015">
        <f t="shared" si="6"/>
        <v>0</v>
      </c>
      <c r="Z69" s="1015">
        <f t="shared" si="6"/>
        <v>0</v>
      </c>
      <c r="AA69" s="1015">
        <f t="shared" si="6"/>
        <v>0</v>
      </c>
      <c r="AB69" s="1015">
        <f t="shared" si="6"/>
        <v>0</v>
      </c>
      <c r="AC69" s="1015">
        <f t="shared" si="6"/>
        <v>0</v>
      </c>
    </row>
    <row r="70" spans="1:53" ht="12.6" customHeight="1">
      <c r="A70" s="1012" t="s">
        <v>597</v>
      </c>
      <c r="B70" s="1016"/>
      <c r="C70" s="1015"/>
      <c r="E70" s="1015">
        <f>E69*$B$64</f>
        <v>1407.1628172599997</v>
      </c>
      <c r="F70" s="1015">
        <f t="shared" ref="F70:AC70" si="7">F69*$B$64</f>
        <v>1055.3721129449998</v>
      </c>
      <c r="G70" s="1015">
        <f t="shared" si="7"/>
        <v>703.58140862999971</v>
      </c>
      <c r="H70" s="1015">
        <f t="shared" si="7"/>
        <v>351.7907043149998</v>
      </c>
      <c r="I70" s="1015">
        <f t="shared" si="7"/>
        <v>0</v>
      </c>
      <c r="J70" s="1015">
        <f t="shared" si="7"/>
        <v>0</v>
      </c>
      <c r="K70" s="1015">
        <f t="shared" si="7"/>
        <v>0</v>
      </c>
      <c r="L70" s="1015">
        <f t="shared" si="7"/>
        <v>0</v>
      </c>
      <c r="M70" s="1015">
        <f t="shared" si="7"/>
        <v>0</v>
      </c>
      <c r="N70" s="1015">
        <f t="shared" si="7"/>
        <v>0</v>
      </c>
      <c r="O70" s="1015">
        <f t="shared" si="7"/>
        <v>0</v>
      </c>
      <c r="P70" s="1015">
        <f t="shared" si="7"/>
        <v>0</v>
      </c>
      <c r="Q70" s="1015">
        <f t="shared" si="7"/>
        <v>0</v>
      </c>
      <c r="R70" s="1015">
        <f t="shared" si="7"/>
        <v>0</v>
      </c>
      <c r="S70" s="1015">
        <f t="shared" si="7"/>
        <v>0</v>
      </c>
      <c r="T70" s="1015">
        <f t="shared" si="7"/>
        <v>0</v>
      </c>
      <c r="U70" s="1015">
        <f t="shared" si="7"/>
        <v>0</v>
      </c>
      <c r="V70" s="1015">
        <f t="shared" si="7"/>
        <v>0</v>
      </c>
      <c r="W70" s="1015">
        <f t="shared" si="7"/>
        <v>0</v>
      </c>
      <c r="X70" s="1015">
        <f t="shared" si="7"/>
        <v>0</v>
      </c>
      <c r="Y70" s="1015">
        <f t="shared" si="7"/>
        <v>0</v>
      </c>
      <c r="Z70" s="1015">
        <f t="shared" si="7"/>
        <v>0</v>
      </c>
      <c r="AA70" s="1015">
        <f t="shared" si="7"/>
        <v>0</v>
      </c>
      <c r="AB70" s="1015">
        <f t="shared" si="7"/>
        <v>0</v>
      </c>
      <c r="AC70" s="1015">
        <f t="shared" si="7"/>
        <v>0</v>
      </c>
    </row>
    <row r="71" spans="1:53" ht="12.6" customHeight="1">
      <c r="A71" s="1012" t="s">
        <v>598</v>
      </c>
      <c r="B71" s="1013"/>
      <c r="C71" s="1015"/>
      <c r="E71" s="1017">
        <f>$C$69*E75</f>
        <v>5231.0885399999997</v>
      </c>
      <c r="F71" s="1017">
        <f t="shared" ref="F71:AC71" si="8">$C$69*F75</f>
        <v>5231.0885399999997</v>
      </c>
      <c r="G71" s="1017">
        <f t="shared" si="8"/>
        <v>5231.0885399999997</v>
      </c>
      <c r="H71" s="1017">
        <f t="shared" si="8"/>
        <v>5231.0885399999997</v>
      </c>
      <c r="I71" s="1017">
        <f t="shared" si="8"/>
        <v>0</v>
      </c>
      <c r="J71" s="1017">
        <f t="shared" si="8"/>
        <v>0</v>
      </c>
      <c r="K71" s="1017">
        <f t="shared" si="8"/>
        <v>0</v>
      </c>
      <c r="L71" s="1017">
        <f t="shared" si="8"/>
        <v>0</v>
      </c>
      <c r="M71" s="1017">
        <f t="shared" si="8"/>
        <v>0</v>
      </c>
      <c r="N71" s="1017">
        <f t="shared" si="8"/>
        <v>0</v>
      </c>
      <c r="O71" s="1017">
        <f t="shared" si="8"/>
        <v>0</v>
      </c>
      <c r="P71" s="1017">
        <f t="shared" si="8"/>
        <v>0</v>
      </c>
      <c r="Q71" s="1017">
        <f t="shared" si="8"/>
        <v>0</v>
      </c>
      <c r="R71" s="1017">
        <f t="shared" si="8"/>
        <v>0</v>
      </c>
      <c r="S71" s="1017">
        <f t="shared" si="8"/>
        <v>0</v>
      </c>
      <c r="T71" s="1017">
        <f t="shared" si="8"/>
        <v>0</v>
      </c>
      <c r="U71" s="1017">
        <f t="shared" si="8"/>
        <v>0</v>
      </c>
      <c r="V71" s="1017">
        <f t="shared" si="8"/>
        <v>0</v>
      </c>
      <c r="W71" s="1017">
        <f t="shared" si="8"/>
        <v>0</v>
      </c>
      <c r="X71" s="1017">
        <f t="shared" si="8"/>
        <v>0</v>
      </c>
      <c r="Y71" s="1017">
        <f t="shared" si="8"/>
        <v>0</v>
      </c>
      <c r="Z71" s="1017">
        <f t="shared" si="8"/>
        <v>0</v>
      </c>
      <c r="AA71" s="1017">
        <f t="shared" si="8"/>
        <v>0</v>
      </c>
      <c r="AB71" s="1017">
        <f t="shared" si="8"/>
        <v>0</v>
      </c>
      <c r="AC71" s="1017">
        <f t="shared" si="8"/>
        <v>0</v>
      </c>
    </row>
    <row r="72" spans="1:53" ht="12.6" customHeight="1">
      <c r="A72" s="1012" t="s">
        <v>599</v>
      </c>
      <c r="B72" s="1013"/>
      <c r="C72" s="1018"/>
      <c r="E72" s="1018">
        <f>E71+E70</f>
        <v>6638.2513572599992</v>
      </c>
      <c r="F72" s="1018">
        <f t="shared" ref="F72:AC72" si="9">F71+F70</f>
        <v>6286.4606529449993</v>
      </c>
      <c r="G72" s="1018">
        <f t="shared" si="9"/>
        <v>5934.6699486299995</v>
      </c>
      <c r="H72" s="1018">
        <f t="shared" si="9"/>
        <v>5582.8792443149996</v>
      </c>
      <c r="I72" s="1018">
        <f t="shared" si="9"/>
        <v>0</v>
      </c>
      <c r="J72" s="1018">
        <f t="shared" si="9"/>
        <v>0</v>
      </c>
      <c r="K72" s="1018">
        <f t="shared" si="9"/>
        <v>0</v>
      </c>
      <c r="L72" s="1018">
        <f t="shared" si="9"/>
        <v>0</v>
      </c>
      <c r="M72" s="1018">
        <f t="shared" si="9"/>
        <v>0</v>
      </c>
      <c r="N72" s="1018">
        <f t="shared" si="9"/>
        <v>0</v>
      </c>
      <c r="O72" s="1018">
        <f t="shared" si="9"/>
        <v>0</v>
      </c>
      <c r="P72" s="1018">
        <f t="shared" si="9"/>
        <v>0</v>
      </c>
      <c r="Q72" s="1018">
        <f t="shared" si="9"/>
        <v>0</v>
      </c>
      <c r="R72" s="1018">
        <f t="shared" si="9"/>
        <v>0</v>
      </c>
      <c r="S72" s="1018">
        <f t="shared" si="9"/>
        <v>0</v>
      </c>
      <c r="T72" s="1018">
        <f t="shared" si="9"/>
        <v>0</v>
      </c>
      <c r="U72" s="1018">
        <f t="shared" si="9"/>
        <v>0</v>
      </c>
      <c r="V72" s="1018">
        <f t="shared" si="9"/>
        <v>0</v>
      </c>
      <c r="W72" s="1018">
        <f t="shared" si="9"/>
        <v>0</v>
      </c>
      <c r="X72" s="1018">
        <f t="shared" si="9"/>
        <v>0</v>
      </c>
      <c r="Y72" s="1018">
        <f t="shared" si="9"/>
        <v>0</v>
      </c>
      <c r="Z72" s="1018">
        <f t="shared" si="9"/>
        <v>0</v>
      </c>
      <c r="AA72" s="1018">
        <f t="shared" si="9"/>
        <v>0</v>
      </c>
      <c r="AB72" s="1018">
        <f t="shared" si="9"/>
        <v>0</v>
      </c>
      <c r="AC72" s="1018">
        <f t="shared" si="9"/>
        <v>0</v>
      </c>
    </row>
    <row r="73" spans="1:53" ht="12.6" customHeight="1">
      <c r="A73" s="1012" t="s">
        <v>600</v>
      </c>
      <c r="B73" s="1013"/>
      <c r="C73" s="1015"/>
      <c r="E73" s="1015">
        <f t="shared" ref="E73:AC73" si="10">E69-E71</f>
        <v>15693.265619999998</v>
      </c>
      <c r="F73" s="1015">
        <f t="shared" si="10"/>
        <v>10462.177079999998</v>
      </c>
      <c r="G73" s="1015">
        <f t="shared" si="10"/>
        <v>5231.0885399999979</v>
      </c>
      <c r="H73" s="1015">
        <f t="shared" si="10"/>
        <v>0</v>
      </c>
      <c r="I73" s="1015">
        <f t="shared" si="10"/>
        <v>0</v>
      </c>
      <c r="J73" s="1015">
        <f t="shared" si="10"/>
        <v>0</v>
      </c>
      <c r="K73" s="1015">
        <f t="shared" si="10"/>
        <v>0</v>
      </c>
      <c r="L73" s="1015">
        <f t="shared" si="10"/>
        <v>0</v>
      </c>
      <c r="M73" s="1015">
        <f t="shared" si="10"/>
        <v>0</v>
      </c>
      <c r="N73" s="1015">
        <f t="shared" si="10"/>
        <v>0</v>
      </c>
      <c r="O73" s="1015">
        <f t="shared" si="10"/>
        <v>0</v>
      </c>
      <c r="P73" s="1015">
        <f t="shared" si="10"/>
        <v>0</v>
      </c>
      <c r="Q73" s="1015">
        <f t="shared" si="10"/>
        <v>0</v>
      </c>
      <c r="R73" s="1015">
        <f t="shared" si="10"/>
        <v>0</v>
      </c>
      <c r="S73" s="1015">
        <f t="shared" si="10"/>
        <v>0</v>
      </c>
      <c r="T73" s="1015">
        <f t="shared" si="10"/>
        <v>0</v>
      </c>
      <c r="U73" s="1015">
        <f t="shared" si="10"/>
        <v>0</v>
      </c>
      <c r="V73" s="1015">
        <f t="shared" si="10"/>
        <v>0</v>
      </c>
      <c r="W73" s="1015">
        <f t="shared" si="10"/>
        <v>0</v>
      </c>
      <c r="X73" s="1015">
        <f t="shared" si="10"/>
        <v>0</v>
      </c>
      <c r="Y73" s="1015">
        <f t="shared" si="10"/>
        <v>0</v>
      </c>
      <c r="Z73" s="1015">
        <f t="shared" si="10"/>
        <v>0</v>
      </c>
      <c r="AA73" s="1015">
        <f t="shared" si="10"/>
        <v>0</v>
      </c>
      <c r="AB73" s="1015">
        <f t="shared" si="10"/>
        <v>0</v>
      </c>
      <c r="AC73" s="1015">
        <f t="shared" si="10"/>
        <v>0</v>
      </c>
    </row>
    <row r="74" spans="1:53" ht="12.6" customHeight="1">
      <c r="A74" s="1012" t="s">
        <v>601</v>
      </c>
      <c r="B74" s="1013"/>
      <c r="C74" s="1019">
        <f>SUMPRODUCT(E71:AC71,$E$66:$AC$66)/SUM(E71:AC71)</f>
        <v>2.5</v>
      </c>
      <c r="D74" s="257"/>
      <c r="E74" s="1020"/>
      <c r="F74" s="1015"/>
      <c r="G74" s="1015"/>
      <c r="H74" s="1015"/>
      <c r="I74" s="1015"/>
      <c r="J74" s="1015"/>
      <c r="K74" s="1015"/>
      <c r="L74" s="1015"/>
      <c r="M74" s="1015"/>
      <c r="N74" s="1015"/>
      <c r="O74" s="1015"/>
      <c r="P74" s="1015"/>
      <c r="Q74" s="1015"/>
      <c r="R74" s="1015"/>
      <c r="S74" s="1015"/>
      <c r="T74" s="1015"/>
      <c r="U74" s="1015"/>
      <c r="V74" s="1015"/>
      <c r="W74" s="1015"/>
      <c r="X74" s="1015"/>
      <c r="Y74" s="1015"/>
      <c r="Z74" s="1015"/>
      <c r="AA74" s="1015"/>
      <c r="AB74" s="1015"/>
      <c r="AC74" s="1015"/>
    </row>
    <row r="75" spans="1:53" ht="12.6" customHeight="1">
      <c r="B75" s="735"/>
      <c r="C75" s="1021" t="s">
        <v>602</v>
      </c>
      <c r="D75" s="1022">
        <f>SUM(E75:AC75)</f>
        <v>1</v>
      </c>
      <c r="E75" s="1023">
        <v>0.25</v>
      </c>
      <c r="F75" s="1023">
        <v>0.25</v>
      </c>
      <c r="G75" s="1023">
        <v>0.25</v>
      </c>
      <c r="H75" s="1023">
        <v>0.25</v>
      </c>
      <c r="I75" s="1023">
        <v>0</v>
      </c>
      <c r="J75" s="1023">
        <v>0</v>
      </c>
      <c r="K75" s="1023">
        <v>0</v>
      </c>
      <c r="L75" s="1023">
        <v>0</v>
      </c>
      <c r="M75" s="1023">
        <v>0</v>
      </c>
      <c r="N75" s="1023">
        <v>0</v>
      </c>
      <c r="O75" s="1023">
        <v>0</v>
      </c>
      <c r="P75" s="1023">
        <v>0</v>
      </c>
      <c r="Q75" s="1023">
        <v>0</v>
      </c>
      <c r="R75" s="1023">
        <v>0</v>
      </c>
      <c r="S75" s="1023">
        <v>0</v>
      </c>
      <c r="T75" s="1023">
        <v>0</v>
      </c>
      <c r="U75" s="1023">
        <v>0</v>
      </c>
      <c r="V75" s="1023">
        <v>0</v>
      </c>
      <c r="W75" s="1023">
        <v>0</v>
      </c>
      <c r="X75" s="1023">
        <v>0</v>
      </c>
      <c r="Y75" s="1023">
        <v>0</v>
      </c>
      <c r="Z75" s="1023">
        <v>0</v>
      </c>
      <c r="AA75" s="1023">
        <v>0</v>
      </c>
      <c r="AB75" s="1023">
        <v>0</v>
      </c>
      <c r="AC75" s="1023">
        <v>0</v>
      </c>
    </row>
    <row r="76" spans="1:53" ht="12.6" customHeight="1"/>
    <row r="77" spans="1:53" ht="12.6" customHeight="1">
      <c r="A77" s="248" t="s">
        <v>603</v>
      </c>
    </row>
    <row r="78" spans="1:53" ht="12.6" customHeight="1">
      <c r="A78" s="555" t="s">
        <v>593</v>
      </c>
      <c r="B78" s="1006">
        <f>Principal2</f>
        <v>39233.164049999992</v>
      </c>
    </row>
    <row r="79" spans="1:53" s="49" customFormat="1">
      <c r="A79" s="560" t="s">
        <v>208</v>
      </c>
      <c r="B79" s="1007">
        <f>_Int2</f>
        <v>7.5700000000000003E-2</v>
      </c>
      <c r="C79" s="247"/>
      <c r="D79" s="247"/>
      <c r="E79" s="247"/>
      <c r="F79" s="247"/>
      <c r="G79" s="247"/>
      <c r="H79" s="247"/>
      <c r="I79" s="247"/>
      <c r="J79" s="247"/>
      <c r="K79" s="247"/>
      <c r="L79" s="247"/>
      <c r="M79" s="247"/>
      <c r="N79" s="247"/>
      <c r="O79" s="247"/>
      <c r="P79" s="247"/>
      <c r="Q79" s="247"/>
      <c r="R79" s="247"/>
      <c r="S79" s="247"/>
      <c r="T79" s="247"/>
      <c r="U79" s="247"/>
      <c r="V79" s="247"/>
      <c r="W79" s="247"/>
      <c r="X79" s="247"/>
      <c r="Y79" s="247"/>
      <c r="Z79" s="247"/>
      <c r="AA79" s="247"/>
      <c r="AB79" s="247"/>
      <c r="AC79" s="247"/>
      <c r="AD79" s="247"/>
      <c r="AE79" s="247"/>
      <c r="AF79" s="247"/>
      <c r="AG79" s="247"/>
      <c r="AH79" s="247"/>
      <c r="AI79" s="247"/>
    </row>
    <row r="80" spans="1:53" s="49" customFormat="1">
      <c r="A80" s="560" t="s">
        <v>191</v>
      </c>
      <c r="B80" s="559">
        <f>Term2</f>
        <v>10</v>
      </c>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c r="AA80" s="247"/>
      <c r="AB80" s="247"/>
      <c r="AC80" s="247"/>
      <c r="AD80" s="247"/>
      <c r="AE80" s="247"/>
      <c r="AF80" s="247"/>
      <c r="AG80" s="247"/>
      <c r="AH80" s="247"/>
      <c r="AI80" s="247"/>
    </row>
    <row r="81" spans="1:35" s="49" customFormat="1">
      <c r="A81" s="774" t="s">
        <v>594</v>
      </c>
      <c r="B81" s="552">
        <f>Grace2</f>
        <v>4</v>
      </c>
      <c r="C81" s="247"/>
      <c r="D81" s="247"/>
      <c r="E81" s="251">
        <f>E4</f>
        <v>1</v>
      </c>
      <c r="F81" s="251">
        <f t="shared" ref="F81:AC81" si="11">F4</f>
        <v>2</v>
      </c>
      <c r="G81" s="251">
        <f t="shared" si="11"/>
        <v>3</v>
      </c>
      <c r="H81" s="251">
        <f t="shared" si="11"/>
        <v>4</v>
      </c>
      <c r="I81" s="251">
        <f t="shared" si="11"/>
        <v>5</v>
      </c>
      <c r="J81" s="251">
        <f t="shared" si="11"/>
        <v>6</v>
      </c>
      <c r="K81" s="251">
        <f t="shared" si="11"/>
        <v>7</v>
      </c>
      <c r="L81" s="251">
        <f t="shared" si="11"/>
        <v>8</v>
      </c>
      <c r="M81" s="251">
        <f t="shared" si="11"/>
        <v>9</v>
      </c>
      <c r="N81" s="251">
        <f t="shared" si="11"/>
        <v>10</v>
      </c>
      <c r="O81" s="251">
        <f t="shared" si="11"/>
        <v>11</v>
      </c>
      <c r="P81" s="251">
        <f t="shared" si="11"/>
        <v>12</v>
      </c>
      <c r="Q81" s="251">
        <f t="shared" si="11"/>
        <v>13</v>
      </c>
      <c r="R81" s="251">
        <f t="shared" si="11"/>
        <v>14</v>
      </c>
      <c r="S81" s="251">
        <f t="shared" si="11"/>
        <v>15</v>
      </c>
      <c r="T81" s="251">
        <f t="shared" si="11"/>
        <v>16</v>
      </c>
      <c r="U81" s="251">
        <f t="shared" si="11"/>
        <v>17</v>
      </c>
      <c r="V81" s="251">
        <f t="shared" si="11"/>
        <v>18</v>
      </c>
      <c r="W81" s="251">
        <f t="shared" si="11"/>
        <v>19</v>
      </c>
      <c r="X81" s="251">
        <f t="shared" si="11"/>
        <v>20</v>
      </c>
      <c r="Y81" s="251">
        <f t="shared" si="11"/>
        <v>21</v>
      </c>
      <c r="Z81" s="251">
        <f t="shared" si="11"/>
        <v>22</v>
      </c>
      <c r="AA81" s="251">
        <f t="shared" si="11"/>
        <v>23</v>
      </c>
      <c r="AB81" s="251">
        <f t="shared" si="11"/>
        <v>24</v>
      </c>
      <c r="AC81" s="251">
        <f t="shared" si="11"/>
        <v>25</v>
      </c>
      <c r="AD81" s="247"/>
      <c r="AE81" s="247"/>
      <c r="AF81" s="247"/>
      <c r="AG81" s="247"/>
      <c r="AH81" s="247"/>
      <c r="AI81" s="247"/>
    </row>
    <row r="82" spans="1:35" s="49" customFormat="1">
      <c r="A82" s="148"/>
      <c r="B82" s="148"/>
      <c r="C82" s="248" t="s">
        <v>595</v>
      </c>
      <c r="D82" s="247"/>
      <c r="E82" s="1008">
        <f>E5</f>
        <v>2000</v>
      </c>
      <c r="F82" s="1008">
        <f t="shared" ref="F82:AC82" si="12">F5</f>
        <v>2001</v>
      </c>
      <c r="G82" s="1008">
        <f t="shared" si="12"/>
        <v>2002</v>
      </c>
      <c r="H82" s="1008">
        <f t="shared" si="12"/>
        <v>2003</v>
      </c>
      <c r="I82" s="1008">
        <f t="shared" si="12"/>
        <v>2004</v>
      </c>
      <c r="J82" s="1008">
        <f t="shared" si="12"/>
        <v>2005</v>
      </c>
      <c r="K82" s="1008">
        <f t="shared" si="12"/>
        <v>2006</v>
      </c>
      <c r="L82" s="1008">
        <f t="shared" si="12"/>
        <v>2007</v>
      </c>
      <c r="M82" s="1008">
        <f t="shared" si="12"/>
        <v>2008</v>
      </c>
      <c r="N82" s="1008">
        <f t="shared" si="12"/>
        <v>2009</v>
      </c>
      <c r="O82" s="1008">
        <f t="shared" si="12"/>
        <v>2010</v>
      </c>
      <c r="P82" s="1008">
        <f t="shared" si="12"/>
        <v>2011</v>
      </c>
      <c r="Q82" s="1008">
        <f t="shared" si="12"/>
        <v>2012</v>
      </c>
      <c r="R82" s="1008">
        <f t="shared" si="12"/>
        <v>2013</v>
      </c>
      <c r="S82" s="1008">
        <f t="shared" si="12"/>
        <v>2014</v>
      </c>
      <c r="T82" s="1008">
        <f t="shared" si="12"/>
        <v>2015</v>
      </c>
      <c r="U82" s="1008">
        <f t="shared" si="12"/>
        <v>2016</v>
      </c>
      <c r="V82" s="1008">
        <f t="shared" si="12"/>
        <v>2017</v>
      </c>
      <c r="W82" s="1008">
        <f t="shared" si="12"/>
        <v>2018</v>
      </c>
      <c r="X82" s="1008">
        <f t="shared" si="12"/>
        <v>2019</v>
      </c>
      <c r="Y82" s="1008">
        <f t="shared" si="12"/>
        <v>2020</v>
      </c>
      <c r="Z82" s="1008">
        <f t="shared" si="12"/>
        <v>2021</v>
      </c>
      <c r="AA82" s="1008">
        <f t="shared" si="12"/>
        <v>2022</v>
      </c>
      <c r="AB82" s="1008">
        <f t="shared" si="12"/>
        <v>2023</v>
      </c>
      <c r="AC82" s="1008">
        <f t="shared" si="12"/>
        <v>2024</v>
      </c>
      <c r="AD82" s="247"/>
      <c r="AE82" s="247"/>
      <c r="AF82" s="247"/>
      <c r="AG82" s="247"/>
      <c r="AH82" s="247"/>
      <c r="AI82" s="247"/>
    </row>
    <row r="83" spans="1:35" s="49" customFormat="1">
      <c r="A83" s="1009"/>
      <c r="B83" s="1010"/>
      <c r="C83" s="1010"/>
      <c r="D83" s="1010"/>
      <c r="E83" s="1011"/>
      <c r="F83" s="1011"/>
      <c r="G83" s="1011"/>
      <c r="H83" s="1011"/>
      <c r="I83" s="1011"/>
      <c r="J83" s="1011"/>
      <c r="K83" s="1011"/>
      <c r="L83" s="1011"/>
      <c r="M83" s="1011"/>
      <c r="N83" s="1011"/>
      <c r="O83" s="1011"/>
      <c r="P83" s="1011"/>
      <c r="Q83" s="1011"/>
      <c r="R83" s="1011"/>
      <c r="S83" s="1011"/>
      <c r="T83" s="247"/>
      <c r="U83" s="247"/>
      <c r="V83" s="247"/>
      <c r="W83" s="247"/>
      <c r="X83" s="247"/>
      <c r="Y83" s="247"/>
      <c r="Z83" s="247"/>
      <c r="AA83" s="247"/>
      <c r="AB83" s="247"/>
      <c r="AC83" s="247"/>
      <c r="AD83" s="247"/>
      <c r="AE83" s="247"/>
      <c r="AF83" s="247"/>
      <c r="AG83" s="247"/>
      <c r="AH83" s="247"/>
      <c r="AI83" s="247"/>
    </row>
    <row r="84" spans="1:35" s="49" customFormat="1">
      <c r="A84" s="1012" t="s">
        <v>596</v>
      </c>
      <c r="B84" s="1013"/>
      <c r="C84" s="1014">
        <f>B78</f>
        <v>39233.164049999992</v>
      </c>
      <c r="D84" s="247"/>
      <c r="E84" s="1015">
        <f>C84</f>
        <v>39233.164049999992</v>
      </c>
      <c r="F84" s="1015">
        <f t="shared" ref="F84:AC84" si="13">E88</f>
        <v>39233.164049999992</v>
      </c>
      <c r="G84" s="1015">
        <f t="shared" si="13"/>
        <v>39233.164049999992</v>
      </c>
      <c r="H84" s="1015">
        <f t="shared" si="13"/>
        <v>37271.50584749999</v>
      </c>
      <c r="I84" s="1015">
        <f t="shared" si="13"/>
        <v>33348.189442499992</v>
      </c>
      <c r="J84" s="1015">
        <f t="shared" si="13"/>
        <v>29424.873037499994</v>
      </c>
      <c r="K84" s="1015">
        <f t="shared" si="13"/>
        <v>25501.556632499996</v>
      </c>
      <c r="L84" s="1015">
        <f t="shared" si="13"/>
        <v>21578.240227499999</v>
      </c>
      <c r="M84" s="1015">
        <f t="shared" si="13"/>
        <v>17654.923822500001</v>
      </c>
      <c r="N84" s="1015">
        <f t="shared" si="13"/>
        <v>9808.2910125000017</v>
      </c>
      <c r="O84" s="1015">
        <f t="shared" si="13"/>
        <v>0</v>
      </c>
      <c r="P84" s="1015">
        <f t="shared" si="13"/>
        <v>0</v>
      </c>
      <c r="Q84" s="1015">
        <f t="shared" si="13"/>
        <v>0</v>
      </c>
      <c r="R84" s="1015">
        <f t="shared" si="13"/>
        <v>0</v>
      </c>
      <c r="S84" s="1015">
        <f t="shared" si="13"/>
        <v>0</v>
      </c>
      <c r="T84" s="1015">
        <f t="shared" si="13"/>
        <v>0</v>
      </c>
      <c r="U84" s="1015">
        <f t="shared" si="13"/>
        <v>0</v>
      </c>
      <c r="V84" s="1015">
        <f t="shared" si="13"/>
        <v>0</v>
      </c>
      <c r="W84" s="1015">
        <f t="shared" si="13"/>
        <v>0</v>
      </c>
      <c r="X84" s="1015">
        <f t="shared" si="13"/>
        <v>0</v>
      </c>
      <c r="Y84" s="1015">
        <f t="shared" si="13"/>
        <v>0</v>
      </c>
      <c r="Z84" s="1015">
        <f t="shared" si="13"/>
        <v>0</v>
      </c>
      <c r="AA84" s="1015">
        <f t="shared" si="13"/>
        <v>0</v>
      </c>
      <c r="AB84" s="1015">
        <f t="shared" si="13"/>
        <v>0</v>
      </c>
      <c r="AC84" s="1015">
        <f t="shared" si="13"/>
        <v>0</v>
      </c>
      <c r="AD84" s="247"/>
      <c r="AE84" s="247"/>
      <c r="AF84" s="247"/>
      <c r="AG84" s="247"/>
      <c r="AH84" s="247"/>
      <c r="AI84" s="247"/>
    </row>
    <row r="85" spans="1:35" s="49" customFormat="1">
      <c r="A85" s="1012" t="s">
        <v>597</v>
      </c>
      <c r="B85" s="1016"/>
      <c r="C85" s="1015"/>
      <c r="D85" s="247"/>
      <c r="E85" s="1015">
        <f>E84*$B$79</f>
        <v>2969.9505185849994</v>
      </c>
      <c r="F85" s="1015">
        <f t="shared" ref="F85:AC85" si="14">F84*$B$79</f>
        <v>2969.9505185849994</v>
      </c>
      <c r="G85" s="1015">
        <f t="shared" si="14"/>
        <v>2969.9505185849994</v>
      </c>
      <c r="H85" s="1015">
        <f t="shared" si="14"/>
        <v>2821.4529926557493</v>
      </c>
      <c r="I85" s="1015">
        <f t="shared" si="14"/>
        <v>2524.4579407972496</v>
      </c>
      <c r="J85" s="1015">
        <f t="shared" si="14"/>
        <v>2227.4628889387495</v>
      </c>
      <c r="K85" s="1015">
        <f t="shared" si="14"/>
        <v>1930.4678370802499</v>
      </c>
      <c r="L85" s="1015">
        <f t="shared" si="14"/>
        <v>1633.47278522175</v>
      </c>
      <c r="M85" s="1015">
        <f t="shared" si="14"/>
        <v>1336.4777333632501</v>
      </c>
      <c r="N85" s="1015">
        <f t="shared" si="14"/>
        <v>742.48762964625018</v>
      </c>
      <c r="O85" s="1015">
        <f t="shared" si="14"/>
        <v>0</v>
      </c>
      <c r="P85" s="1015">
        <f t="shared" si="14"/>
        <v>0</v>
      </c>
      <c r="Q85" s="1015">
        <f t="shared" si="14"/>
        <v>0</v>
      </c>
      <c r="R85" s="1015">
        <f t="shared" si="14"/>
        <v>0</v>
      </c>
      <c r="S85" s="1015">
        <f t="shared" si="14"/>
        <v>0</v>
      </c>
      <c r="T85" s="1015">
        <f t="shared" si="14"/>
        <v>0</v>
      </c>
      <c r="U85" s="1015">
        <f t="shared" si="14"/>
        <v>0</v>
      </c>
      <c r="V85" s="1015">
        <f t="shared" si="14"/>
        <v>0</v>
      </c>
      <c r="W85" s="1015">
        <f t="shared" si="14"/>
        <v>0</v>
      </c>
      <c r="X85" s="1015">
        <f t="shared" si="14"/>
        <v>0</v>
      </c>
      <c r="Y85" s="1015">
        <f t="shared" si="14"/>
        <v>0</v>
      </c>
      <c r="Z85" s="1015">
        <f t="shared" si="14"/>
        <v>0</v>
      </c>
      <c r="AA85" s="1015">
        <f t="shared" si="14"/>
        <v>0</v>
      </c>
      <c r="AB85" s="1015">
        <f t="shared" si="14"/>
        <v>0</v>
      </c>
      <c r="AC85" s="1015">
        <f t="shared" si="14"/>
        <v>0</v>
      </c>
      <c r="AD85" s="247"/>
      <c r="AE85" s="247"/>
      <c r="AF85" s="247"/>
      <c r="AG85" s="247"/>
      <c r="AH85" s="247"/>
      <c r="AI85" s="247"/>
    </row>
    <row r="86" spans="1:35" ht="12.6" customHeight="1">
      <c r="A86" s="1012" t="s">
        <v>598</v>
      </c>
      <c r="B86" s="1013"/>
      <c r="C86" s="1015"/>
      <c r="E86" s="1017">
        <f>$C$84*E90</f>
        <v>0</v>
      </c>
      <c r="F86" s="1017">
        <f t="shared" ref="F86:AC86" si="15">$C$84*F90</f>
        <v>0</v>
      </c>
      <c r="G86" s="1017">
        <f t="shared" si="15"/>
        <v>1961.6582024999998</v>
      </c>
      <c r="H86" s="1017">
        <f t="shared" si="15"/>
        <v>3923.3164049999996</v>
      </c>
      <c r="I86" s="1017">
        <f t="shared" si="15"/>
        <v>3923.3164049999996</v>
      </c>
      <c r="J86" s="1017">
        <f t="shared" si="15"/>
        <v>3923.3164049999996</v>
      </c>
      <c r="K86" s="1017">
        <f t="shared" si="15"/>
        <v>3923.3164049999996</v>
      </c>
      <c r="L86" s="1017">
        <f t="shared" si="15"/>
        <v>3923.3164049999996</v>
      </c>
      <c r="M86" s="1017">
        <f t="shared" si="15"/>
        <v>7846.6328099999992</v>
      </c>
      <c r="N86" s="1017">
        <f t="shared" si="15"/>
        <v>9808.291012499998</v>
      </c>
      <c r="O86" s="1017">
        <f t="shared" si="15"/>
        <v>0</v>
      </c>
      <c r="P86" s="1017">
        <f t="shared" si="15"/>
        <v>0</v>
      </c>
      <c r="Q86" s="1017">
        <f t="shared" si="15"/>
        <v>0</v>
      </c>
      <c r="R86" s="1017">
        <f t="shared" si="15"/>
        <v>0</v>
      </c>
      <c r="S86" s="1017">
        <f t="shared" si="15"/>
        <v>0</v>
      </c>
      <c r="T86" s="1017">
        <f t="shared" si="15"/>
        <v>0</v>
      </c>
      <c r="U86" s="1017">
        <f t="shared" si="15"/>
        <v>0</v>
      </c>
      <c r="V86" s="1017">
        <f t="shared" si="15"/>
        <v>0</v>
      </c>
      <c r="W86" s="1017">
        <f t="shared" si="15"/>
        <v>0</v>
      </c>
      <c r="X86" s="1017">
        <f t="shared" si="15"/>
        <v>0</v>
      </c>
      <c r="Y86" s="1017">
        <f t="shared" si="15"/>
        <v>0</v>
      </c>
      <c r="Z86" s="1017">
        <f t="shared" si="15"/>
        <v>0</v>
      </c>
      <c r="AA86" s="1017">
        <f t="shared" si="15"/>
        <v>0</v>
      </c>
      <c r="AB86" s="1017">
        <f t="shared" si="15"/>
        <v>0</v>
      </c>
      <c r="AC86" s="1017">
        <f t="shared" si="15"/>
        <v>0</v>
      </c>
    </row>
    <row r="87" spans="1:35" ht="12.6" customHeight="1">
      <c r="A87" s="1012" t="s">
        <v>599</v>
      </c>
      <c r="B87" s="1013"/>
      <c r="C87" s="1018"/>
      <c r="E87" s="1018">
        <f t="shared" ref="E87:AC87" si="16">E86+E85</f>
        <v>2969.9505185849994</v>
      </c>
      <c r="F87" s="1018">
        <f t="shared" si="16"/>
        <v>2969.9505185849994</v>
      </c>
      <c r="G87" s="1018">
        <f t="shared" si="16"/>
        <v>4931.6087210849992</v>
      </c>
      <c r="H87" s="1018">
        <f t="shared" si="16"/>
        <v>6744.7693976557493</v>
      </c>
      <c r="I87" s="1018">
        <f t="shared" si="16"/>
        <v>6447.7743457972492</v>
      </c>
      <c r="J87" s="1018">
        <f t="shared" si="16"/>
        <v>6150.7792939387491</v>
      </c>
      <c r="K87" s="1018">
        <f t="shared" si="16"/>
        <v>5853.7842420802499</v>
      </c>
      <c r="L87" s="1018">
        <f t="shared" si="16"/>
        <v>5556.7891902217498</v>
      </c>
      <c r="M87" s="1018">
        <f t="shared" si="16"/>
        <v>9183.1105433632492</v>
      </c>
      <c r="N87" s="1018">
        <f t="shared" si="16"/>
        <v>10550.778642146248</v>
      </c>
      <c r="O87" s="1018">
        <f t="shared" si="16"/>
        <v>0</v>
      </c>
      <c r="P87" s="1018">
        <f t="shared" si="16"/>
        <v>0</v>
      </c>
      <c r="Q87" s="1018">
        <f t="shared" si="16"/>
        <v>0</v>
      </c>
      <c r="R87" s="1018">
        <f t="shared" si="16"/>
        <v>0</v>
      </c>
      <c r="S87" s="1018">
        <f t="shared" si="16"/>
        <v>0</v>
      </c>
      <c r="T87" s="1018">
        <f t="shared" si="16"/>
        <v>0</v>
      </c>
      <c r="U87" s="1018">
        <f t="shared" si="16"/>
        <v>0</v>
      </c>
      <c r="V87" s="1018">
        <f t="shared" si="16"/>
        <v>0</v>
      </c>
      <c r="W87" s="1018">
        <f t="shared" si="16"/>
        <v>0</v>
      </c>
      <c r="X87" s="1018">
        <f t="shared" si="16"/>
        <v>0</v>
      </c>
      <c r="Y87" s="1018">
        <f t="shared" si="16"/>
        <v>0</v>
      </c>
      <c r="Z87" s="1018">
        <f t="shared" si="16"/>
        <v>0</v>
      </c>
      <c r="AA87" s="1018">
        <f t="shared" si="16"/>
        <v>0</v>
      </c>
      <c r="AB87" s="1018">
        <f t="shared" si="16"/>
        <v>0</v>
      </c>
      <c r="AC87" s="1018">
        <f t="shared" si="16"/>
        <v>0</v>
      </c>
    </row>
    <row r="88" spans="1:35" ht="12.6" customHeight="1">
      <c r="A88" s="1012" t="s">
        <v>600</v>
      </c>
      <c r="B88" s="1013"/>
      <c r="C88" s="1015"/>
      <c r="E88" s="1015">
        <f t="shared" ref="E88:AC88" si="17">E84-E86</f>
        <v>39233.164049999992</v>
      </c>
      <c r="F88" s="1015">
        <f t="shared" si="17"/>
        <v>39233.164049999992</v>
      </c>
      <c r="G88" s="1015">
        <f t="shared" si="17"/>
        <v>37271.50584749999</v>
      </c>
      <c r="H88" s="1015">
        <f t="shared" si="17"/>
        <v>33348.189442499992</v>
      </c>
      <c r="I88" s="1015">
        <f t="shared" si="17"/>
        <v>29424.873037499994</v>
      </c>
      <c r="J88" s="1015">
        <f t="shared" si="17"/>
        <v>25501.556632499996</v>
      </c>
      <c r="K88" s="1015">
        <f t="shared" si="17"/>
        <v>21578.240227499999</v>
      </c>
      <c r="L88" s="1015">
        <f t="shared" si="17"/>
        <v>17654.923822500001</v>
      </c>
      <c r="M88" s="1015">
        <f t="shared" si="17"/>
        <v>9808.2910125000017</v>
      </c>
      <c r="N88" s="1015">
        <f t="shared" si="17"/>
        <v>0</v>
      </c>
      <c r="O88" s="1015">
        <f t="shared" si="17"/>
        <v>0</v>
      </c>
      <c r="P88" s="1015">
        <f t="shared" si="17"/>
        <v>0</v>
      </c>
      <c r="Q88" s="1015">
        <f t="shared" si="17"/>
        <v>0</v>
      </c>
      <c r="R88" s="1015">
        <f t="shared" si="17"/>
        <v>0</v>
      </c>
      <c r="S88" s="1015">
        <f t="shared" si="17"/>
        <v>0</v>
      </c>
      <c r="T88" s="1015">
        <f t="shared" si="17"/>
        <v>0</v>
      </c>
      <c r="U88" s="1015">
        <f t="shared" si="17"/>
        <v>0</v>
      </c>
      <c r="V88" s="1015">
        <f t="shared" si="17"/>
        <v>0</v>
      </c>
      <c r="W88" s="1015">
        <f t="shared" si="17"/>
        <v>0</v>
      </c>
      <c r="X88" s="1015">
        <f t="shared" si="17"/>
        <v>0</v>
      </c>
      <c r="Y88" s="1015">
        <f t="shared" si="17"/>
        <v>0</v>
      </c>
      <c r="Z88" s="1015">
        <f t="shared" si="17"/>
        <v>0</v>
      </c>
      <c r="AA88" s="1015">
        <f t="shared" si="17"/>
        <v>0</v>
      </c>
      <c r="AB88" s="1015">
        <f t="shared" si="17"/>
        <v>0</v>
      </c>
      <c r="AC88" s="1015">
        <f t="shared" si="17"/>
        <v>0</v>
      </c>
    </row>
    <row r="89" spans="1:35" ht="12.6" customHeight="1">
      <c r="A89" s="1012" t="s">
        <v>601</v>
      </c>
      <c r="B89" s="1013"/>
      <c r="C89" s="1024">
        <f>SUMPRODUCT(E86:AC86,$E$81:$AC$81)/SUM(E86:AC86)</f>
        <v>7.45</v>
      </c>
      <c r="E89" s="1020"/>
      <c r="F89" s="1015"/>
      <c r="G89" s="1015"/>
      <c r="H89" s="1015"/>
      <c r="I89" s="1015"/>
      <c r="J89" s="1015"/>
      <c r="K89" s="1015"/>
      <c r="L89" s="1015"/>
      <c r="M89" s="1015"/>
      <c r="N89" s="1015"/>
      <c r="O89" s="1015"/>
      <c r="P89" s="1015"/>
      <c r="Q89" s="1015"/>
      <c r="R89" s="1015"/>
      <c r="S89" s="1015"/>
      <c r="T89" s="1015"/>
      <c r="U89" s="1015"/>
      <c r="V89" s="1015"/>
      <c r="W89" s="1015"/>
      <c r="X89" s="1015"/>
      <c r="Y89" s="1015"/>
      <c r="Z89" s="1015"/>
      <c r="AA89" s="1015"/>
      <c r="AB89" s="1015"/>
      <c r="AC89" s="1015"/>
    </row>
    <row r="90" spans="1:35" ht="12.6" customHeight="1">
      <c r="B90" s="735"/>
      <c r="C90" s="1021" t="s">
        <v>602</v>
      </c>
      <c r="D90" s="1022">
        <f>SUM(E90:AC90)</f>
        <v>1</v>
      </c>
      <c r="E90" s="1023">
        <v>0</v>
      </c>
      <c r="F90" s="1023">
        <v>0</v>
      </c>
      <c r="G90" s="1023">
        <v>0.05</v>
      </c>
      <c r="H90" s="1023">
        <v>0.1</v>
      </c>
      <c r="I90" s="1023">
        <v>0.1</v>
      </c>
      <c r="J90" s="1023">
        <v>0.1</v>
      </c>
      <c r="K90" s="1023">
        <v>0.1</v>
      </c>
      <c r="L90" s="1023">
        <v>0.1</v>
      </c>
      <c r="M90" s="1023">
        <v>0.2</v>
      </c>
      <c r="N90" s="1023">
        <v>0.25</v>
      </c>
      <c r="O90" s="1023">
        <v>0</v>
      </c>
      <c r="P90" s="1023">
        <v>0</v>
      </c>
      <c r="Q90" s="1023">
        <v>0</v>
      </c>
      <c r="R90" s="1023">
        <v>0</v>
      </c>
      <c r="S90" s="1023">
        <v>0</v>
      </c>
      <c r="T90" s="1023">
        <v>0</v>
      </c>
      <c r="U90" s="1023">
        <v>0</v>
      </c>
      <c r="V90" s="1023">
        <v>0</v>
      </c>
      <c r="W90" s="1023">
        <v>0</v>
      </c>
      <c r="X90" s="1023">
        <v>0</v>
      </c>
      <c r="Y90" s="1023">
        <v>0</v>
      </c>
      <c r="Z90" s="1023">
        <v>0</v>
      </c>
      <c r="AA90" s="1023">
        <v>0</v>
      </c>
      <c r="AB90" s="1023">
        <v>0</v>
      </c>
      <c r="AC90" s="1023">
        <v>0</v>
      </c>
    </row>
    <row r="91" spans="1:35" ht="12.6" customHeight="1"/>
    <row r="92" spans="1:35" ht="12.6" customHeight="1">
      <c r="A92" s="248" t="s">
        <v>604</v>
      </c>
    </row>
    <row r="93" spans="1:35" ht="12.6" customHeight="1">
      <c r="A93" s="555" t="s">
        <v>593</v>
      </c>
      <c r="B93" s="1006">
        <f>Principal3</f>
        <v>70619.695289999989</v>
      </c>
    </row>
    <row r="94" spans="1:35" s="1" customFormat="1" ht="12.6" customHeight="1">
      <c r="A94" s="560" t="s">
        <v>208</v>
      </c>
      <c r="B94" s="1007">
        <f>_Int3</f>
        <v>8.1799999999999998E-2</v>
      </c>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c r="AB94" s="247"/>
      <c r="AC94" s="247"/>
      <c r="AD94" s="247"/>
      <c r="AE94" s="247"/>
      <c r="AF94" s="247"/>
      <c r="AG94" s="247"/>
      <c r="AH94" s="247"/>
      <c r="AI94" s="247"/>
    </row>
    <row r="95" spans="1:35" s="1" customFormat="1" ht="12.6" customHeight="1">
      <c r="A95" s="560" t="s">
        <v>191</v>
      </c>
      <c r="B95" s="559">
        <f>Term3</f>
        <v>20</v>
      </c>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c r="AB95" s="247"/>
      <c r="AC95" s="247"/>
      <c r="AD95" s="247"/>
      <c r="AE95" s="247"/>
      <c r="AF95" s="247"/>
      <c r="AG95" s="247"/>
      <c r="AH95" s="247"/>
      <c r="AI95" s="247"/>
    </row>
    <row r="96" spans="1:35" ht="13.5" customHeight="1">
      <c r="A96" s="774" t="s">
        <v>594</v>
      </c>
      <c r="B96" s="552">
        <f>Grace3</f>
        <v>0</v>
      </c>
      <c r="E96" s="251">
        <f>E4</f>
        <v>1</v>
      </c>
      <c r="F96" s="251">
        <f t="shared" ref="F96:AC96" si="18">F4</f>
        <v>2</v>
      </c>
      <c r="G96" s="251">
        <f t="shared" si="18"/>
        <v>3</v>
      </c>
      <c r="H96" s="251">
        <f t="shared" si="18"/>
        <v>4</v>
      </c>
      <c r="I96" s="251">
        <f t="shared" si="18"/>
        <v>5</v>
      </c>
      <c r="J96" s="251">
        <f t="shared" si="18"/>
        <v>6</v>
      </c>
      <c r="K96" s="251">
        <f t="shared" si="18"/>
        <v>7</v>
      </c>
      <c r="L96" s="251">
        <f t="shared" si="18"/>
        <v>8</v>
      </c>
      <c r="M96" s="251">
        <f t="shared" si="18"/>
        <v>9</v>
      </c>
      <c r="N96" s="251">
        <f t="shared" si="18"/>
        <v>10</v>
      </c>
      <c r="O96" s="251">
        <f t="shared" si="18"/>
        <v>11</v>
      </c>
      <c r="P96" s="251">
        <f t="shared" si="18"/>
        <v>12</v>
      </c>
      <c r="Q96" s="251">
        <f t="shared" si="18"/>
        <v>13</v>
      </c>
      <c r="R96" s="251">
        <f t="shared" si="18"/>
        <v>14</v>
      </c>
      <c r="S96" s="251">
        <f t="shared" si="18"/>
        <v>15</v>
      </c>
      <c r="T96" s="251">
        <f t="shared" si="18"/>
        <v>16</v>
      </c>
      <c r="U96" s="251">
        <f t="shared" si="18"/>
        <v>17</v>
      </c>
      <c r="V96" s="251">
        <f t="shared" si="18"/>
        <v>18</v>
      </c>
      <c r="W96" s="251">
        <f t="shared" si="18"/>
        <v>19</v>
      </c>
      <c r="X96" s="251">
        <f t="shared" si="18"/>
        <v>20</v>
      </c>
      <c r="Y96" s="251">
        <f t="shared" si="18"/>
        <v>21</v>
      </c>
      <c r="Z96" s="251">
        <f t="shared" si="18"/>
        <v>22</v>
      </c>
      <c r="AA96" s="251">
        <f t="shared" si="18"/>
        <v>23</v>
      </c>
      <c r="AB96" s="251">
        <f t="shared" si="18"/>
        <v>24</v>
      </c>
      <c r="AC96" s="251">
        <f t="shared" si="18"/>
        <v>25</v>
      </c>
    </row>
    <row r="97" spans="1:35">
      <c r="A97" s="148"/>
      <c r="B97" s="148"/>
      <c r="C97" s="248" t="s">
        <v>595</v>
      </c>
      <c r="E97" s="1027">
        <f>E5</f>
        <v>2000</v>
      </c>
      <c r="F97" s="1027">
        <f t="shared" ref="F97:AC97" si="19">F5</f>
        <v>2001</v>
      </c>
      <c r="G97" s="1027">
        <f t="shared" si="19"/>
        <v>2002</v>
      </c>
      <c r="H97" s="1027">
        <f t="shared" si="19"/>
        <v>2003</v>
      </c>
      <c r="I97" s="1027">
        <f t="shared" si="19"/>
        <v>2004</v>
      </c>
      <c r="J97" s="1027">
        <f t="shared" si="19"/>
        <v>2005</v>
      </c>
      <c r="K97" s="1027">
        <f t="shared" si="19"/>
        <v>2006</v>
      </c>
      <c r="L97" s="1027">
        <f t="shared" si="19"/>
        <v>2007</v>
      </c>
      <c r="M97" s="1027">
        <f t="shared" si="19"/>
        <v>2008</v>
      </c>
      <c r="N97" s="1027">
        <f t="shared" si="19"/>
        <v>2009</v>
      </c>
      <c r="O97" s="1027">
        <f t="shared" si="19"/>
        <v>2010</v>
      </c>
      <c r="P97" s="1027">
        <f t="shared" si="19"/>
        <v>2011</v>
      </c>
      <c r="Q97" s="1027">
        <f t="shared" si="19"/>
        <v>2012</v>
      </c>
      <c r="R97" s="1027">
        <f t="shared" si="19"/>
        <v>2013</v>
      </c>
      <c r="S97" s="1027">
        <f t="shared" si="19"/>
        <v>2014</v>
      </c>
      <c r="T97" s="1027">
        <f t="shared" si="19"/>
        <v>2015</v>
      </c>
      <c r="U97" s="1027">
        <f t="shared" si="19"/>
        <v>2016</v>
      </c>
      <c r="V97" s="1027">
        <f t="shared" si="19"/>
        <v>2017</v>
      </c>
      <c r="W97" s="1027">
        <f t="shared" si="19"/>
        <v>2018</v>
      </c>
      <c r="X97" s="1027">
        <f t="shared" si="19"/>
        <v>2019</v>
      </c>
      <c r="Y97" s="1027">
        <f t="shared" si="19"/>
        <v>2020</v>
      </c>
      <c r="Z97" s="1027">
        <f t="shared" si="19"/>
        <v>2021</v>
      </c>
      <c r="AA97" s="1027">
        <f t="shared" si="19"/>
        <v>2022</v>
      </c>
      <c r="AB97" s="1027">
        <f t="shared" si="19"/>
        <v>2023</v>
      </c>
      <c r="AC97" s="1027">
        <f t="shared" si="19"/>
        <v>2024</v>
      </c>
    </row>
    <row r="98" spans="1:35">
      <c r="A98" s="1009" t="s">
        <v>109</v>
      </c>
      <c r="B98" s="1010"/>
      <c r="C98" s="1010"/>
      <c r="E98" s="1010"/>
      <c r="F98" s="1011"/>
      <c r="G98" s="1011"/>
      <c r="H98" s="1011"/>
      <c r="I98" s="1011"/>
      <c r="J98" s="1011"/>
      <c r="K98" s="1011"/>
      <c r="L98" s="1011"/>
      <c r="M98" s="1011"/>
      <c r="N98" s="1011"/>
      <c r="O98" s="1011"/>
      <c r="P98" s="1011"/>
      <c r="Q98" s="1011"/>
      <c r="R98" s="1011"/>
      <c r="S98" s="1011"/>
      <c r="T98" s="1011"/>
    </row>
    <row r="99" spans="1:35">
      <c r="A99" s="1012" t="s">
        <v>596</v>
      </c>
      <c r="B99" s="1013"/>
      <c r="C99" s="1014">
        <f>B93</f>
        <v>70619.695289999989</v>
      </c>
      <c r="D99" s="257"/>
      <c r="E99" s="1015">
        <f>C99</f>
        <v>70619.695289999989</v>
      </c>
      <c r="F99" s="1015">
        <f t="shared" ref="F99:AC99" si="20">E103</f>
        <v>70619.695289999989</v>
      </c>
      <c r="G99" s="1015">
        <f t="shared" si="20"/>
        <v>70619.695289999989</v>
      </c>
      <c r="H99" s="1015">
        <f t="shared" si="20"/>
        <v>70619.695289999989</v>
      </c>
      <c r="I99" s="1015">
        <f t="shared" si="20"/>
        <v>70619.695289999989</v>
      </c>
      <c r="J99" s="1015">
        <f t="shared" si="20"/>
        <v>69207.301384199993</v>
      </c>
      <c r="K99" s="1015">
        <f t="shared" si="20"/>
        <v>67794.907478399997</v>
      </c>
      <c r="L99" s="1015">
        <f t="shared" si="20"/>
        <v>65676.316619699995</v>
      </c>
      <c r="M99" s="1015">
        <f t="shared" si="20"/>
        <v>63557.725760999994</v>
      </c>
      <c r="N99" s="1015">
        <f t="shared" si="20"/>
        <v>61439.134902299993</v>
      </c>
      <c r="O99" s="1015">
        <f t="shared" si="20"/>
        <v>58614.347090699994</v>
      </c>
      <c r="P99" s="1015">
        <f t="shared" si="20"/>
        <v>55789.559279099994</v>
      </c>
      <c r="Q99" s="1015">
        <f t="shared" si="20"/>
        <v>52258.574514599997</v>
      </c>
      <c r="R99" s="1015">
        <f t="shared" si="20"/>
        <v>48727.5897501</v>
      </c>
      <c r="S99" s="1015">
        <f t="shared" si="20"/>
        <v>45196.604985600003</v>
      </c>
      <c r="T99" s="1015">
        <f t="shared" si="20"/>
        <v>41665.620221100005</v>
      </c>
      <c r="U99" s="1015">
        <f t="shared" si="20"/>
        <v>38134.635456600008</v>
      </c>
      <c r="V99" s="1015">
        <f t="shared" si="20"/>
        <v>31072.66592760001</v>
      </c>
      <c r="W99" s="1015">
        <f t="shared" si="20"/>
        <v>22598.302492800012</v>
      </c>
      <c r="X99" s="1015">
        <f t="shared" si="20"/>
        <v>12005.348199300015</v>
      </c>
      <c r="Y99" s="1015">
        <f t="shared" si="20"/>
        <v>1.6370904631912708E-11</v>
      </c>
      <c r="Z99" s="1015">
        <f t="shared" si="20"/>
        <v>1.6370904631912708E-11</v>
      </c>
      <c r="AA99" s="1015">
        <f t="shared" si="20"/>
        <v>1.6370904631912708E-11</v>
      </c>
      <c r="AB99" s="1015">
        <f t="shared" si="20"/>
        <v>1.6370904631912708E-11</v>
      </c>
      <c r="AC99" s="1015">
        <f t="shared" si="20"/>
        <v>1.6370904631912708E-11</v>
      </c>
    </row>
    <row r="100" spans="1:35">
      <c r="A100" s="1012" t="s">
        <v>597</v>
      </c>
      <c r="B100" s="1016"/>
      <c r="C100" s="1015"/>
      <c r="D100" s="257"/>
      <c r="E100" s="1015">
        <f>E99*$B$94</f>
        <v>5776.691074721999</v>
      </c>
      <c r="F100" s="1015">
        <f t="shared" ref="F100:AC100" si="21">F99*$B$94</f>
        <v>5776.691074721999</v>
      </c>
      <c r="G100" s="1015">
        <f t="shared" si="21"/>
        <v>5776.691074721999</v>
      </c>
      <c r="H100" s="1015">
        <f t="shared" si="21"/>
        <v>5776.691074721999</v>
      </c>
      <c r="I100" s="1015">
        <f t="shared" si="21"/>
        <v>5776.691074721999</v>
      </c>
      <c r="J100" s="1015">
        <f t="shared" si="21"/>
        <v>5661.1572532275595</v>
      </c>
      <c r="K100" s="1015">
        <f t="shared" si="21"/>
        <v>5545.62343173312</v>
      </c>
      <c r="L100" s="1015">
        <f t="shared" si="21"/>
        <v>5372.3226994914594</v>
      </c>
      <c r="M100" s="1015">
        <f t="shared" si="21"/>
        <v>5199.0219672497997</v>
      </c>
      <c r="N100" s="1015">
        <f t="shared" si="21"/>
        <v>5025.721235008139</v>
      </c>
      <c r="O100" s="1015">
        <f t="shared" si="21"/>
        <v>4794.6535920192591</v>
      </c>
      <c r="P100" s="1015">
        <f t="shared" si="21"/>
        <v>4563.5859490303792</v>
      </c>
      <c r="Q100" s="1015">
        <f t="shared" si="21"/>
        <v>4274.75139529428</v>
      </c>
      <c r="R100" s="1015">
        <f t="shared" si="21"/>
        <v>3985.9168415581798</v>
      </c>
      <c r="S100" s="1015">
        <f t="shared" si="21"/>
        <v>3697.0822878220802</v>
      </c>
      <c r="T100" s="1015">
        <f t="shared" si="21"/>
        <v>3408.2477340859805</v>
      </c>
      <c r="U100" s="1015">
        <f t="shared" si="21"/>
        <v>3119.4131803498808</v>
      </c>
      <c r="V100" s="1015">
        <f t="shared" si="21"/>
        <v>2541.7440728776805</v>
      </c>
      <c r="W100" s="1015">
        <f t="shared" si="21"/>
        <v>1848.541143911041</v>
      </c>
      <c r="X100" s="1015">
        <f t="shared" si="21"/>
        <v>982.03748270274116</v>
      </c>
      <c r="Y100" s="1015">
        <f t="shared" si="21"/>
        <v>1.3391399988904595E-12</v>
      </c>
      <c r="Z100" s="1015">
        <f t="shared" si="21"/>
        <v>1.3391399988904595E-12</v>
      </c>
      <c r="AA100" s="1015">
        <f t="shared" si="21"/>
        <v>1.3391399988904595E-12</v>
      </c>
      <c r="AB100" s="1015">
        <f t="shared" si="21"/>
        <v>1.3391399988904595E-12</v>
      </c>
      <c r="AC100" s="1015">
        <f t="shared" si="21"/>
        <v>1.3391399988904595E-12</v>
      </c>
    </row>
    <row r="101" spans="1:35">
      <c r="A101" s="1012" t="s">
        <v>598</v>
      </c>
      <c r="B101" s="1013"/>
      <c r="C101" s="1015"/>
      <c r="E101" s="1017">
        <f>$C$99*E105</f>
        <v>0</v>
      </c>
      <c r="F101" s="1017">
        <f t="shared" ref="F101:AC101" si="22">$C$99*F105</f>
        <v>0</v>
      </c>
      <c r="G101" s="1017">
        <f t="shared" si="22"/>
        <v>0</v>
      </c>
      <c r="H101" s="1017">
        <f t="shared" si="22"/>
        <v>0</v>
      </c>
      <c r="I101" s="1017">
        <f t="shared" si="22"/>
        <v>1412.3939057999999</v>
      </c>
      <c r="J101" s="1017">
        <f t="shared" si="22"/>
        <v>1412.3939057999999</v>
      </c>
      <c r="K101" s="1017">
        <f t="shared" si="22"/>
        <v>2118.5908586999994</v>
      </c>
      <c r="L101" s="1017">
        <f t="shared" si="22"/>
        <v>2118.5908586999994</v>
      </c>
      <c r="M101" s="1017">
        <f t="shared" si="22"/>
        <v>2118.5908586999994</v>
      </c>
      <c r="N101" s="1017">
        <f t="shared" si="22"/>
        <v>2824.7878115999997</v>
      </c>
      <c r="O101" s="1017">
        <f t="shared" si="22"/>
        <v>2824.7878115999997</v>
      </c>
      <c r="P101" s="1017">
        <f t="shared" si="22"/>
        <v>3530.9847644999995</v>
      </c>
      <c r="Q101" s="1017">
        <f t="shared" si="22"/>
        <v>3530.9847644999995</v>
      </c>
      <c r="R101" s="1017">
        <f t="shared" si="22"/>
        <v>3530.9847644999995</v>
      </c>
      <c r="S101" s="1017">
        <f t="shared" si="22"/>
        <v>3530.9847644999995</v>
      </c>
      <c r="T101" s="1017">
        <f t="shared" si="22"/>
        <v>3530.9847644999995</v>
      </c>
      <c r="U101" s="1017">
        <f t="shared" si="22"/>
        <v>7061.9695289999991</v>
      </c>
      <c r="V101" s="1017">
        <f t="shared" si="22"/>
        <v>8474.3634347999978</v>
      </c>
      <c r="W101" s="1017">
        <f t="shared" si="22"/>
        <v>10592.954293499997</v>
      </c>
      <c r="X101" s="1017">
        <f t="shared" si="22"/>
        <v>12005.348199299999</v>
      </c>
      <c r="Y101" s="1017">
        <f t="shared" si="22"/>
        <v>0</v>
      </c>
      <c r="Z101" s="1017">
        <f t="shared" si="22"/>
        <v>0</v>
      </c>
      <c r="AA101" s="1017">
        <f t="shared" si="22"/>
        <v>0</v>
      </c>
      <c r="AB101" s="1017">
        <f t="shared" si="22"/>
        <v>0</v>
      </c>
      <c r="AC101" s="1017">
        <f t="shared" si="22"/>
        <v>0</v>
      </c>
    </row>
    <row r="102" spans="1:35">
      <c r="A102" s="1012" t="s">
        <v>599</v>
      </c>
      <c r="B102" s="1013"/>
      <c r="C102" s="1018"/>
      <c r="E102" s="1018">
        <f t="shared" ref="E102:AC102" si="23">E101+E100</f>
        <v>5776.691074721999</v>
      </c>
      <c r="F102" s="1018">
        <f t="shared" si="23"/>
        <v>5776.691074721999</v>
      </c>
      <c r="G102" s="1018">
        <f t="shared" si="23"/>
        <v>5776.691074721999</v>
      </c>
      <c r="H102" s="1018">
        <f t="shared" si="23"/>
        <v>5776.691074721999</v>
      </c>
      <c r="I102" s="1018">
        <f t="shared" si="23"/>
        <v>7189.0849805219987</v>
      </c>
      <c r="J102" s="1018">
        <f t="shared" si="23"/>
        <v>7073.5511590275592</v>
      </c>
      <c r="K102" s="1018">
        <f t="shared" si="23"/>
        <v>7664.2142904331195</v>
      </c>
      <c r="L102" s="1018">
        <f t="shared" si="23"/>
        <v>7490.9135581914588</v>
      </c>
      <c r="M102" s="1018">
        <f t="shared" si="23"/>
        <v>7317.6128259497991</v>
      </c>
      <c r="N102" s="1018">
        <f t="shared" si="23"/>
        <v>7850.5090466081383</v>
      </c>
      <c r="O102" s="1018">
        <f t="shared" si="23"/>
        <v>7619.4414036192593</v>
      </c>
      <c r="P102" s="1018">
        <f t="shared" si="23"/>
        <v>8094.5707135303783</v>
      </c>
      <c r="Q102" s="1018">
        <f t="shared" si="23"/>
        <v>7805.73615979428</v>
      </c>
      <c r="R102" s="1018">
        <f t="shared" si="23"/>
        <v>7516.9016060581798</v>
      </c>
      <c r="S102" s="1018">
        <f t="shared" si="23"/>
        <v>7228.0670523220797</v>
      </c>
      <c r="T102" s="1018">
        <f t="shared" si="23"/>
        <v>6939.2324985859796</v>
      </c>
      <c r="U102" s="1018">
        <f t="shared" si="23"/>
        <v>10181.38270934988</v>
      </c>
      <c r="V102" s="1018">
        <f t="shared" si="23"/>
        <v>11016.107507677678</v>
      </c>
      <c r="W102" s="1018">
        <f t="shared" si="23"/>
        <v>12441.495437411038</v>
      </c>
      <c r="X102" s="1018">
        <f t="shared" si="23"/>
        <v>12987.385682002739</v>
      </c>
      <c r="Y102" s="1018">
        <f t="shared" si="23"/>
        <v>1.3391399988904595E-12</v>
      </c>
      <c r="Z102" s="1018">
        <f t="shared" si="23"/>
        <v>1.3391399988904595E-12</v>
      </c>
      <c r="AA102" s="1018">
        <f t="shared" si="23"/>
        <v>1.3391399988904595E-12</v>
      </c>
      <c r="AB102" s="1018">
        <f t="shared" si="23"/>
        <v>1.3391399988904595E-12</v>
      </c>
      <c r="AC102" s="1018">
        <f t="shared" si="23"/>
        <v>1.3391399988904595E-12</v>
      </c>
    </row>
    <row r="103" spans="1:35">
      <c r="A103" s="1012" t="s">
        <v>600</v>
      </c>
      <c r="B103" s="1013"/>
      <c r="C103" s="1015"/>
      <c r="E103" s="1015">
        <f t="shared" ref="E103:AC103" si="24">E99-E101</f>
        <v>70619.695289999989</v>
      </c>
      <c r="F103" s="1015">
        <f t="shared" si="24"/>
        <v>70619.695289999989</v>
      </c>
      <c r="G103" s="1015">
        <f t="shared" si="24"/>
        <v>70619.695289999989</v>
      </c>
      <c r="H103" s="1015">
        <f t="shared" si="24"/>
        <v>70619.695289999989</v>
      </c>
      <c r="I103" s="1015">
        <f t="shared" si="24"/>
        <v>69207.301384199993</v>
      </c>
      <c r="J103" s="1015">
        <f t="shared" si="24"/>
        <v>67794.907478399997</v>
      </c>
      <c r="K103" s="1015">
        <f t="shared" si="24"/>
        <v>65676.316619699995</v>
      </c>
      <c r="L103" s="1015">
        <f t="shared" si="24"/>
        <v>63557.725760999994</v>
      </c>
      <c r="M103" s="1015">
        <f t="shared" si="24"/>
        <v>61439.134902299993</v>
      </c>
      <c r="N103" s="1015">
        <f t="shared" si="24"/>
        <v>58614.347090699994</v>
      </c>
      <c r="O103" s="1015">
        <f t="shared" si="24"/>
        <v>55789.559279099994</v>
      </c>
      <c r="P103" s="1015">
        <f t="shared" si="24"/>
        <v>52258.574514599997</v>
      </c>
      <c r="Q103" s="1015">
        <f t="shared" si="24"/>
        <v>48727.5897501</v>
      </c>
      <c r="R103" s="1015">
        <f t="shared" si="24"/>
        <v>45196.604985600003</v>
      </c>
      <c r="S103" s="1015">
        <f t="shared" si="24"/>
        <v>41665.620221100005</v>
      </c>
      <c r="T103" s="1015">
        <f t="shared" si="24"/>
        <v>38134.635456600008</v>
      </c>
      <c r="U103" s="1015">
        <f t="shared" si="24"/>
        <v>31072.66592760001</v>
      </c>
      <c r="V103" s="1015">
        <f t="shared" si="24"/>
        <v>22598.302492800012</v>
      </c>
      <c r="W103" s="1015">
        <f t="shared" si="24"/>
        <v>12005.348199300015</v>
      </c>
      <c r="X103" s="1015">
        <f t="shared" si="24"/>
        <v>1.6370904631912708E-11</v>
      </c>
      <c r="Y103" s="1015">
        <f t="shared" si="24"/>
        <v>1.6370904631912708E-11</v>
      </c>
      <c r="Z103" s="1015">
        <f t="shared" si="24"/>
        <v>1.6370904631912708E-11</v>
      </c>
      <c r="AA103" s="1015">
        <f t="shared" si="24"/>
        <v>1.6370904631912708E-11</v>
      </c>
      <c r="AB103" s="1015">
        <f t="shared" si="24"/>
        <v>1.6370904631912708E-11</v>
      </c>
      <c r="AC103" s="1015">
        <f t="shared" si="24"/>
        <v>1.6370904631912708E-11</v>
      </c>
    </row>
    <row r="104" spans="1:35" s="1" customFormat="1" ht="12.6" customHeight="1">
      <c r="A104" s="1012" t="s">
        <v>601</v>
      </c>
      <c r="B104" s="1013"/>
      <c r="C104" s="1024">
        <f>SUMPRODUCT(E101:AC101,$E$96:$AC$96)/SUM(E101:AC101)</f>
        <v>15.390000000000002</v>
      </c>
      <c r="D104" s="247"/>
      <c r="E104" s="1020"/>
      <c r="F104" s="1015"/>
      <c r="G104" s="1015"/>
      <c r="H104" s="1015"/>
      <c r="I104" s="1015"/>
      <c r="J104" s="1015"/>
      <c r="K104" s="1015"/>
      <c r="L104" s="1015"/>
      <c r="M104" s="1015"/>
      <c r="N104" s="1015"/>
      <c r="O104" s="1015"/>
      <c r="P104" s="1015"/>
      <c r="Q104" s="1015"/>
      <c r="R104" s="1015"/>
      <c r="S104" s="1015"/>
      <c r="T104" s="1015"/>
      <c r="U104" s="1015"/>
      <c r="V104" s="1015"/>
      <c r="W104" s="1015"/>
      <c r="X104" s="1015"/>
      <c r="Y104" s="1015"/>
      <c r="Z104" s="1015"/>
      <c r="AA104" s="1015"/>
      <c r="AB104" s="1015"/>
      <c r="AC104" s="1015"/>
      <c r="AD104" s="247"/>
      <c r="AE104" s="247"/>
      <c r="AF104" s="247"/>
      <c r="AG104" s="247"/>
      <c r="AH104" s="247"/>
      <c r="AI104" s="247"/>
    </row>
    <row r="105" spans="1:35" s="48" customFormat="1">
      <c r="A105" s="247"/>
      <c r="B105" s="735"/>
      <c r="C105" s="1021" t="s">
        <v>602</v>
      </c>
      <c r="D105" s="1022">
        <f>SUM(E105:AC105)</f>
        <v>1</v>
      </c>
      <c r="E105" s="1023">
        <v>0</v>
      </c>
      <c r="F105" s="1023">
        <v>0</v>
      </c>
      <c r="G105" s="1023">
        <v>0</v>
      </c>
      <c r="H105" s="1023">
        <v>0</v>
      </c>
      <c r="I105" s="1023">
        <v>0.02</v>
      </c>
      <c r="J105" s="1023">
        <v>0.02</v>
      </c>
      <c r="K105" s="1023">
        <v>0.03</v>
      </c>
      <c r="L105" s="1023">
        <v>0.03</v>
      </c>
      <c r="M105" s="1023">
        <v>0.03</v>
      </c>
      <c r="N105" s="1023">
        <v>0.04</v>
      </c>
      <c r="O105" s="1023">
        <v>0.04</v>
      </c>
      <c r="P105" s="1023">
        <v>0.05</v>
      </c>
      <c r="Q105" s="1023">
        <v>0.05</v>
      </c>
      <c r="R105" s="1023">
        <v>0.05</v>
      </c>
      <c r="S105" s="1023">
        <v>0.05</v>
      </c>
      <c r="T105" s="1023">
        <v>0.05</v>
      </c>
      <c r="U105" s="1023">
        <v>0.1</v>
      </c>
      <c r="V105" s="1023">
        <v>0.12</v>
      </c>
      <c r="W105" s="1023">
        <v>0.15</v>
      </c>
      <c r="X105" s="1023">
        <v>0.17</v>
      </c>
      <c r="Y105" s="1023">
        <v>0</v>
      </c>
      <c r="Z105" s="1023">
        <v>0</v>
      </c>
      <c r="AA105" s="1023">
        <v>0</v>
      </c>
      <c r="AB105" s="1023">
        <v>0</v>
      </c>
      <c r="AC105" s="1023">
        <v>0</v>
      </c>
      <c r="AD105" s="247"/>
      <c r="AE105" s="247"/>
      <c r="AF105" s="247"/>
      <c r="AG105" s="247"/>
      <c r="AH105" s="247"/>
      <c r="AI105" s="247"/>
    </row>
    <row r="106" spans="1:35" s="48" customFormat="1">
      <c r="A106" s="247"/>
      <c r="B106" s="247"/>
      <c r="C106" s="247"/>
      <c r="D106" s="247"/>
      <c r="E106" s="247"/>
      <c r="F106" s="247"/>
      <c r="G106" s="247"/>
      <c r="H106" s="247"/>
      <c r="I106" s="247"/>
      <c r="J106" s="247"/>
      <c r="K106" s="247"/>
      <c r="L106" s="247"/>
      <c r="M106" s="247"/>
      <c r="N106" s="247"/>
      <c r="O106" s="247"/>
      <c r="P106" s="247"/>
      <c r="Q106" s="247"/>
      <c r="R106" s="247"/>
      <c r="S106" s="247"/>
      <c r="T106" s="247"/>
      <c r="U106" s="247"/>
      <c r="V106" s="247"/>
      <c r="W106" s="247"/>
      <c r="X106" s="247"/>
      <c r="Y106" s="247"/>
      <c r="Z106" s="247"/>
      <c r="AA106" s="247"/>
      <c r="AB106" s="247"/>
      <c r="AC106" s="247"/>
      <c r="AD106" s="247"/>
      <c r="AE106" s="247"/>
      <c r="AF106" s="247"/>
      <c r="AG106" s="247"/>
      <c r="AH106" s="247"/>
      <c r="AI106" s="247"/>
    </row>
    <row r="107" spans="1:35" s="48" customFormat="1">
      <c r="A107" s="247"/>
      <c r="B107" s="247"/>
      <c r="C107" s="247"/>
      <c r="D107" s="247"/>
      <c r="E107" s="247"/>
      <c r="F107" s="247"/>
      <c r="G107" s="247"/>
      <c r="H107" s="247"/>
      <c r="I107" s="247"/>
      <c r="J107" s="247"/>
      <c r="K107" s="247"/>
      <c r="L107" s="247"/>
      <c r="M107" s="247"/>
      <c r="N107" s="247"/>
      <c r="O107" s="247"/>
      <c r="P107" s="247"/>
      <c r="Q107" s="247"/>
      <c r="R107" s="247"/>
      <c r="S107" s="247"/>
      <c r="T107" s="247"/>
      <c r="U107" s="247"/>
      <c r="V107" s="247"/>
      <c r="W107" s="247"/>
      <c r="X107" s="247"/>
      <c r="Y107" s="247"/>
      <c r="Z107" s="247"/>
      <c r="AA107" s="247"/>
      <c r="AB107" s="247"/>
      <c r="AC107" s="247"/>
      <c r="AD107" s="247"/>
      <c r="AE107" s="247"/>
      <c r="AF107" s="247"/>
      <c r="AG107" s="247"/>
      <c r="AH107" s="247"/>
      <c r="AI107" s="247"/>
    </row>
    <row r="108" spans="1:35" s="48" customFormat="1">
      <c r="A108" s="247"/>
      <c r="B108" s="247"/>
      <c r="C108" s="247"/>
      <c r="D108" s="247"/>
      <c r="E108" s="247"/>
      <c r="F108" s="247"/>
      <c r="G108" s="247"/>
      <c r="H108" s="247"/>
      <c r="I108" s="247"/>
      <c r="J108" s="247"/>
      <c r="K108" s="247"/>
      <c r="L108" s="247"/>
      <c r="M108" s="247"/>
      <c r="N108" s="247"/>
      <c r="O108" s="247"/>
      <c r="P108" s="247"/>
      <c r="Q108" s="247"/>
      <c r="R108" s="247"/>
      <c r="S108" s="247"/>
      <c r="T108" s="247"/>
      <c r="U108" s="247"/>
      <c r="V108" s="247"/>
      <c r="W108" s="247"/>
      <c r="X108" s="247"/>
      <c r="Y108" s="247"/>
      <c r="Z108" s="247"/>
      <c r="AA108" s="247"/>
      <c r="AB108" s="247"/>
      <c r="AC108" s="247"/>
      <c r="AD108" s="247"/>
      <c r="AE108" s="247"/>
      <c r="AF108" s="247"/>
      <c r="AG108" s="247"/>
      <c r="AH108" s="247"/>
      <c r="AI108" s="247"/>
    </row>
    <row r="109" spans="1:35" s="48" customFormat="1">
      <c r="A109" s="247"/>
      <c r="B109" s="247"/>
      <c r="C109" s="247"/>
      <c r="D109" s="247"/>
      <c r="E109" s="247"/>
      <c r="F109" s="247"/>
      <c r="G109" s="247"/>
      <c r="H109" s="247"/>
      <c r="I109" s="247"/>
      <c r="J109" s="247"/>
      <c r="K109" s="247"/>
      <c r="L109" s="247"/>
      <c r="M109" s="247"/>
      <c r="N109" s="247"/>
      <c r="O109" s="247"/>
      <c r="P109" s="247"/>
      <c r="Q109" s="247"/>
      <c r="R109" s="247"/>
      <c r="S109" s="247"/>
      <c r="T109" s="247"/>
      <c r="U109" s="247"/>
      <c r="V109" s="247"/>
      <c r="W109" s="247"/>
      <c r="X109" s="247"/>
      <c r="Y109" s="247"/>
      <c r="Z109" s="247"/>
      <c r="AA109" s="247"/>
      <c r="AB109" s="247"/>
      <c r="AC109" s="247"/>
      <c r="AD109" s="247"/>
      <c r="AE109" s="247"/>
      <c r="AF109" s="247"/>
      <c r="AG109" s="247"/>
      <c r="AH109" s="247"/>
      <c r="AI109" s="247"/>
    </row>
    <row r="110" spans="1:35" s="48" customFormat="1" ht="12.6" customHeight="1">
      <c r="A110" s="247"/>
      <c r="B110" s="247"/>
      <c r="C110" s="247"/>
      <c r="D110" s="247"/>
      <c r="E110" s="247"/>
      <c r="F110" s="247"/>
      <c r="G110" s="247"/>
      <c r="H110" s="247"/>
      <c r="I110" s="247"/>
      <c r="J110" s="247"/>
      <c r="K110" s="247"/>
      <c r="L110" s="247"/>
      <c r="M110" s="247"/>
      <c r="N110" s="247"/>
      <c r="O110" s="247"/>
      <c r="P110" s="247"/>
      <c r="Q110" s="247"/>
      <c r="R110" s="247"/>
      <c r="S110" s="247"/>
      <c r="T110" s="247"/>
      <c r="U110" s="247"/>
      <c r="V110" s="247"/>
      <c r="W110" s="247"/>
      <c r="X110" s="247"/>
      <c r="Y110" s="247"/>
      <c r="Z110" s="247"/>
      <c r="AA110" s="247"/>
      <c r="AB110" s="247"/>
      <c r="AC110" s="247"/>
      <c r="AD110" s="247"/>
      <c r="AE110" s="247"/>
      <c r="AF110" s="247"/>
      <c r="AG110" s="247"/>
      <c r="AH110" s="247"/>
      <c r="AI110" s="247"/>
    </row>
    <row r="111" spans="1:35" s="48" customFormat="1" ht="12.6" customHeight="1">
      <c r="A111" s="247"/>
      <c r="B111" s="247"/>
      <c r="C111" s="247"/>
      <c r="D111" s="247"/>
      <c r="E111" s="247"/>
      <c r="F111" s="247"/>
      <c r="G111" s="247"/>
      <c r="H111" s="247"/>
      <c r="I111" s="247"/>
      <c r="J111" s="247"/>
      <c r="K111" s="247"/>
      <c r="L111" s="247"/>
      <c r="M111" s="247"/>
      <c r="N111" s="247"/>
      <c r="O111" s="247"/>
      <c r="P111" s="247"/>
      <c r="Q111" s="247"/>
      <c r="R111" s="247"/>
      <c r="S111" s="247"/>
      <c r="T111" s="247"/>
      <c r="U111" s="247"/>
      <c r="V111" s="247"/>
      <c r="W111" s="247"/>
      <c r="X111" s="247"/>
      <c r="Y111" s="247"/>
      <c r="Z111" s="247"/>
      <c r="AA111" s="247"/>
      <c r="AB111" s="247"/>
      <c r="AC111" s="247"/>
      <c r="AD111" s="247"/>
      <c r="AE111" s="247"/>
      <c r="AF111" s="247"/>
      <c r="AG111" s="247"/>
      <c r="AH111" s="247"/>
      <c r="AI111" s="247"/>
    </row>
    <row r="112" spans="1:35" ht="12.6" customHeight="1"/>
    <row r="113" spans="1:45" ht="12.6" customHeight="1"/>
    <row r="114" spans="1:45" ht="12.6" customHeight="1"/>
    <row r="115" spans="1:45" ht="12.6" customHeight="1"/>
    <row r="116" spans="1:45" ht="12.6" customHeight="1"/>
    <row r="117" spans="1:45" ht="12.6" customHeight="1"/>
    <row r="118" spans="1:45" ht="12.6" customHeight="1"/>
    <row r="119" spans="1:45" ht="12.6" customHeight="1"/>
    <row r="120" spans="1:45" s="1" customFormat="1" ht="12.6" customHeight="1">
      <c r="A120" s="247"/>
      <c r="B120" s="247"/>
      <c r="C120" s="247"/>
      <c r="D120" s="247"/>
      <c r="E120" s="247"/>
      <c r="F120" s="247"/>
      <c r="G120" s="247"/>
      <c r="H120" s="247"/>
      <c r="I120" s="247"/>
      <c r="J120" s="247"/>
      <c r="K120" s="247"/>
      <c r="L120" s="247"/>
      <c r="M120" s="247"/>
      <c r="N120" s="247"/>
      <c r="O120" s="247"/>
      <c r="P120" s="247"/>
      <c r="Q120" s="247"/>
      <c r="R120" s="247"/>
      <c r="S120" s="247"/>
      <c r="T120" s="247"/>
      <c r="U120" s="247"/>
      <c r="V120" s="247"/>
      <c r="W120" s="247"/>
      <c r="X120" s="247"/>
      <c r="Y120" s="247"/>
      <c r="Z120" s="247"/>
      <c r="AA120" s="247"/>
      <c r="AB120" s="247"/>
      <c r="AC120" s="247"/>
      <c r="AD120" s="247"/>
      <c r="AE120" s="247"/>
      <c r="AF120" s="247"/>
      <c r="AG120" s="247"/>
      <c r="AH120" s="247"/>
      <c r="AI120" s="247"/>
    </row>
    <row r="121" spans="1:45" s="1" customFormat="1" ht="12.6" customHeight="1">
      <c r="A121" s="247"/>
      <c r="B121" s="247"/>
      <c r="C121" s="247"/>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c r="AA121" s="247"/>
      <c r="AB121" s="247"/>
      <c r="AC121" s="247"/>
      <c r="AD121" s="247"/>
      <c r="AE121" s="247"/>
      <c r="AF121" s="247"/>
      <c r="AG121" s="247"/>
      <c r="AH121" s="247"/>
      <c r="AI121" s="247"/>
    </row>
    <row r="122" spans="1:45" s="1" customFormat="1" ht="12.6" customHeight="1">
      <c r="A122" s="247"/>
      <c r="B122" s="247"/>
      <c r="C122" s="247"/>
      <c r="D122" s="247"/>
      <c r="E122" s="247"/>
      <c r="F122" s="247"/>
      <c r="G122" s="247"/>
      <c r="H122" s="247"/>
      <c r="I122" s="247"/>
      <c r="J122" s="247"/>
      <c r="K122" s="247"/>
      <c r="L122" s="247"/>
      <c r="M122" s="247"/>
      <c r="N122" s="247"/>
      <c r="O122" s="247"/>
      <c r="P122" s="247"/>
      <c r="Q122" s="247"/>
      <c r="R122" s="247"/>
      <c r="S122" s="247"/>
      <c r="T122" s="247"/>
      <c r="U122" s="247"/>
      <c r="V122" s="247"/>
      <c r="W122" s="247"/>
      <c r="X122" s="247"/>
      <c r="Y122" s="247"/>
      <c r="Z122" s="247"/>
      <c r="AA122" s="247"/>
      <c r="AB122" s="247"/>
      <c r="AC122" s="247"/>
      <c r="AD122" s="247"/>
      <c r="AE122" s="247"/>
      <c r="AF122" s="247"/>
      <c r="AG122" s="247"/>
      <c r="AH122" s="247"/>
      <c r="AI122" s="247"/>
      <c r="AJ122" s="7"/>
      <c r="AK122" s="7"/>
      <c r="AL122" s="7"/>
      <c r="AM122" s="7"/>
      <c r="AN122" s="7"/>
      <c r="AO122" s="7"/>
      <c r="AP122" s="7"/>
      <c r="AQ122" s="7"/>
      <c r="AR122" s="7"/>
      <c r="AS122" s="7"/>
    </row>
    <row r="123" spans="1:45" s="1" customFormat="1" ht="12.6" customHeight="1">
      <c r="A123" s="247"/>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c r="AA123" s="247"/>
      <c r="AB123" s="247"/>
      <c r="AC123" s="247"/>
      <c r="AD123" s="247"/>
      <c r="AE123" s="247"/>
      <c r="AF123" s="247"/>
      <c r="AG123" s="247"/>
      <c r="AH123" s="247"/>
      <c r="AI123" s="247"/>
      <c r="AJ123" s="50"/>
      <c r="AK123" s="50"/>
      <c r="AL123" s="50"/>
      <c r="AM123" s="50"/>
      <c r="AN123" s="50"/>
      <c r="AO123" s="50"/>
      <c r="AP123" s="50"/>
      <c r="AQ123" s="50"/>
      <c r="AR123" s="50"/>
      <c r="AS123" s="50"/>
    </row>
    <row r="124" spans="1:45" s="1" customFormat="1" ht="12.6" customHeight="1">
      <c r="A124" s="247"/>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c r="AA124" s="247"/>
      <c r="AB124" s="247"/>
      <c r="AC124" s="247"/>
      <c r="AD124" s="247"/>
      <c r="AE124" s="247"/>
      <c r="AF124" s="247"/>
      <c r="AG124" s="247"/>
      <c r="AH124" s="247"/>
      <c r="AI124" s="247"/>
      <c r="AJ124" s="4"/>
      <c r="AK124" s="4"/>
      <c r="AL124" s="4"/>
      <c r="AM124" s="4"/>
      <c r="AN124" s="4"/>
      <c r="AO124" s="4"/>
      <c r="AP124" s="4"/>
      <c r="AQ124" s="4"/>
      <c r="AR124" s="4"/>
      <c r="AS124" s="4"/>
    </row>
    <row r="125" spans="1:45" s="1" customFormat="1" ht="12.6" customHeight="1">
      <c r="A125" s="247"/>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c r="AA125" s="247"/>
      <c r="AB125" s="247"/>
      <c r="AC125" s="247"/>
      <c r="AD125" s="247"/>
      <c r="AE125" s="247"/>
      <c r="AF125" s="247"/>
      <c r="AG125" s="247"/>
      <c r="AH125" s="247"/>
      <c r="AI125" s="247"/>
      <c r="AJ125" s="4"/>
      <c r="AK125" s="4"/>
      <c r="AL125" s="4"/>
      <c r="AM125" s="4"/>
      <c r="AN125" s="4"/>
      <c r="AO125" s="4"/>
      <c r="AP125" s="4"/>
      <c r="AQ125" s="4"/>
      <c r="AR125" s="4"/>
      <c r="AS125" s="4"/>
    </row>
    <row r="126" spans="1:45" s="1" customFormat="1" ht="12.6" customHeight="1">
      <c r="A126" s="247"/>
      <c r="B126" s="247"/>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c r="AA126" s="247"/>
      <c r="AB126" s="247"/>
      <c r="AC126" s="247"/>
      <c r="AD126" s="247"/>
      <c r="AE126" s="247"/>
      <c r="AF126" s="247"/>
      <c r="AG126" s="247"/>
      <c r="AH126" s="247"/>
      <c r="AI126" s="247"/>
      <c r="AJ126" s="50"/>
      <c r="AK126" s="50"/>
      <c r="AL126" s="50"/>
      <c r="AM126" s="50"/>
      <c r="AN126" s="50"/>
      <c r="AO126" s="50"/>
      <c r="AP126" s="50"/>
      <c r="AQ126" s="50"/>
      <c r="AR126" s="50"/>
      <c r="AS126" s="50"/>
    </row>
    <row r="127" spans="1:45" s="1" customFormat="1" ht="12.6" customHeight="1">
      <c r="A127" s="247"/>
      <c r="B127" s="247"/>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row>
    <row r="128" spans="1:45" s="1" customFormat="1" ht="12.6" customHeight="1">
      <c r="A128" s="247"/>
      <c r="B128" s="247"/>
      <c r="C128" s="247"/>
      <c r="D128" s="247"/>
      <c r="E128" s="247"/>
      <c r="F128" s="247"/>
      <c r="G128" s="247"/>
      <c r="H128" s="247"/>
      <c r="I128" s="247"/>
      <c r="J128" s="247"/>
      <c r="K128" s="247"/>
      <c r="L128" s="247"/>
      <c r="M128" s="247"/>
      <c r="N128" s="247"/>
      <c r="O128" s="247"/>
      <c r="P128" s="247"/>
      <c r="Q128" s="247"/>
      <c r="R128" s="247"/>
      <c r="S128" s="247"/>
      <c r="T128" s="247"/>
      <c r="U128" s="247"/>
      <c r="V128" s="247"/>
      <c r="W128" s="247"/>
      <c r="X128" s="247"/>
      <c r="Y128" s="247"/>
      <c r="Z128" s="247"/>
      <c r="AA128" s="247"/>
      <c r="AB128" s="247"/>
      <c r="AC128" s="247"/>
      <c r="AD128" s="247"/>
      <c r="AE128" s="247"/>
      <c r="AF128" s="247"/>
      <c r="AG128" s="247"/>
      <c r="AH128" s="247"/>
      <c r="AI128" s="247"/>
    </row>
    <row r="129" spans="1:35" s="1" customFormat="1" ht="12.6" customHeight="1">
      <c r="A129" s="247"/>
      <c r="B129" s="247"/>
      <c r="C129" s="247"/>
      <c r="D129" s="247"/>
      <c r="E129" s="247"/>
      <c r="F129" s="247"/>
      <c r="G129" s="247"/>
      <c r="H129" s="247"/>
      <c r="I129" s="247"/>
      <c r="J129" s="247"/>
      <c r="K129" s="247"/>
      <c r="L129" s="247"/>
      <c r="M129" s="247"/>
      <c r="N129" s="247"/>
      <c r="O129" s="247"/>
      <c r="P129" s="247"/>
      <c r="Q129" s="247"/>
      <c r="R129" s="247"/>
      <c r="S129" s="247"/>
      <c r="T129" s="247"/>
      <c r="U129" s="247"/>
      <c r="V129" s="247"/>
      <c r="W129" s="247"/>
      <c r="X129" s="247"/>
      <c r="Y129" s="247"/>
      <c r="Z129" s="247"/>
      <c r="AA129" s="247"/>
      <c r="AB129" s="247"/>
      <c r="AC129" s="247"/>
      <c r="AD129" s="247"/>
      <c r="AE129" s="247"/>
      <c r="AF129" s="247"/>
      <c r="AG129" s="247"/>
      <c r="AH129" s="247"/>
      <c r="AI129" s="247"/>
    </row>
    <row r="130" spans="1:35" s="1" customFormat="1" ht="12.6" customHeight="1">
      <c r="A130" s="257"/>
      <c r="B130" s="257"/>
      <c r="C130" s="257"/>
      <c r="D130" s="247"/>
      <c r="E130" s="247"/>
      <c r="F130" s="247"/>
      <c r="G130" s="247"/>
      <c r="H130" s="247"/>
      <c r="I130" s="247"/>
      <c r="J130" s="247"/>
      <c r="K130" s="247"/>
      <c r="L130" s="247"/>
      <c r="M130" s="247"/>
      <c r="N130" s="247"/>
      <c r="O130" s="247"/>
      <c r="P130" s="247"/>
      <c r="Q130" s="247"/>
      <c r="R130" s="247"/>
      <c r="S130" s="247"/>
      <c r="T130" s="247"/>
      <c r="U130" s="247"/>
      <c r="V130" s="247"/>
      <c r="W130" s="247"/>
      <c r="X130" s="247"/>
      <c r="Y130" s="247"/>
      <c r="Z130" s="247"/>
      <c r="AA130" s="247"/>
      <c r="AB130" s="247"/>
      <c r="AC130" s="247"/>
      <c r="AD130" s="257"/>
      <c r="AE130" s="257"/>
      <c r="AF130" s="257"/>
      <c r="AG130" s="257"/>
      <c r="AH130" s="257"/>
      <c r="AI130" s="257"/>
    </row>
    <row r="131" spans="1:35" ht="12.6" customHeight="1"/>
    <row r="132" spans="1:35" ht="12.6" customHeight="1"/>
    <row r="133" spans="1:35" ht="12.6" customHeight="1"/>
    <row r="134" spans="1:35" ht="12.6" customHeight="1"/>
    <row r="135" spans="1:35" ht="12.6" customHeight="1"/>
    <row r="136" spans="1:35" ht="12.6" customHeight="1"/>
    <row r="137" spans="1:35" ht="12.6" customHeight="1"/>
    <row r="138" spans="1:35" ht="12.6" customHeight="1"/>
    <row r="139" spans="1:35" ht="12.6" customHeight="1"/>
    <row r="140" spans="1:35" ht="12.6" customHeight="1"/>
    <row r="141" spans="1:35" ht="12.6" customHeight="1"/>
    <row r="142" spans="1:35" ht="12.6" customHeight="1"/>
    <row r="143" spans="1:35" ht="12.6" customHeight="1"/>
    <row r="144" spans="1:35"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row r="282" ht="12.6" customHeight="1"/>
    <row r="283" ht="12.6" customHeight="1"/>
    <row r="284" ht="12.6" customHeight="1"/>
  </sheetData>
  <customSheetViews>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1"/>
      <headerFooter alignWithMargins="0">
        <oddFooter>&amp;L&amp;D   &amp;T&amp;RO:\Naes\GenSvcs\TVA\TVA Model\&amp;F
&amp;A &amp;P</oddFooter>
      </headerFooter>
    </customSheetView>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2"/>
      <headerFooter alignWithMargins="0"/>
    </customSheetView>
  </customSheetViews>
  <pageMargins left="0.25" right="0.25" top="0.25" bottom="0.5" header="0" footer="0"/>
  <pageSetup scale="36" orientation="landscape" r:id="rId3"/>
  <headerFooter alignWithMargins="0">
    <oddFooter>&amp;L&amp;D   &amp;T&amp;R&amp;F
&amp;A &amp;P</oddFooter>
  </headerFooter>
  <rowBreaks count="1" manualBreakCount="1">
    <brk id="62" max="16383" man="1"/>
  </rowBreaks>
  <colBreaks count="4" manualBreakCount="4">
    <brk id="16" max="104857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zoomScale="75" zoomScaleNormal="75" zoomScaleSheetLayoutView="85" workbookViewId="0"/>
  </sheetViews>
  <sheetFormatPr defaultRowHeight="12.75"/>
  <cols>
    <col min="1" max="1" width="41" style="247" customWidth="1"/>
    <col min="2" max="2" width="11.42578125" style="247" customWidth="1"/>
    <col min="3" max="27" width="10.28515625" style="247" bestFit="1" customWidth="1"/>
    <col min="28" max="32" width="9.140625" style="247"/>
  </cols>
  <sheetData>
    <row r="1" spans="1:52" ht="20.25">
      <c r="A1" s="727" t="str">
        <f>'Project Assumptions'!$A$2</f>
        <v>GLEASON, TN</v>
      </c>
    </row>
    <row r="2" spans="1:52">
      <c r="A2" s="728" t="s">
        <v>157</v>
      </c>
    </row>
    <row r="3" spans="1:52" s="1" customFormat="1" ht="12.6" customHeight="1">
      <c r="A3" s="279"/>
      <c r="B3" s="247"/>
      <c r="C3" s="257">
        <f>'Book Income Statement'!D3</f>
        <v>1</v>
      </c>
      <c r="D3" s="257">
        <f>'Book Income Statement'!E3</f>
        <v>2</v>
      </c>
      <c r="E3" s="257">
        <f>'Book Income Statement'!F3</f>
        <v>3</v>
      </c>
      <c r="F3" s="257">
        <f>'Book Income Statement'!G3</f>
        <v>4</v>
      </c>
      <c r="G3" s="257">
        <f>'Book Income Statement'!H3</f>
        <v>5</v>
      </c>
      <c r="H3" s="257">
        <f>'Book Income Statement'!I3</f>
        <v>6</v>
      </c>
      <c r="I3" s="258">
        <f>'Book Income Statement'!J3</f>
        <v>7</v>
      </c>
      <c r="J3" s="257">
        <f>'Book Income Statement'!K3</f>
        <v>8</v>
      </c>
      <c r="K3" s="257">
        <f>'Book Income Statement'!L3</f>
        <v>9</v>
      </c>
      <c r="L3" s="257">
        <f>'Book Income Statement'!M3</f>
        <v>10</v>
      </c>
      <c r="M3" s="257">
        <f>'Book Income Statement'!N3</f>
        <v>11</v>
      </c>
      <c r="N3" s="257">
        <f>'Book Income Statement'!O3</f>
        <v>12</v>
      </c>
      <c r="O3" s="258">
        <f>'Book Income Statement'!P3</f>
        <v>13</v>
      </c>
      <c r="P3" s="257">
        <f>'Book Income Statement'!Q3</f>
        <v>14</v>
      </c>
      <c r="Q3" s="257">
        <f>'Book Income Statement'!R3</f>
        <v>15</v>
      </c>
      <c r="R3" s="257">
        <f>'Book Income Statement'!S3</f>
        <v>16</v>
      </c>
      <c r="S3" s="257">
        <f>'Book Income Statement'!T3</f>
        <v>17</v>
      </c>
      <c r="T3" s="257">
        <f>'Book Income Statement'!U3</f>
        <v>18</v>
      </c>
      <c r="U3" s="258">
        <f>'Book Income Statement'!V3</f>
        <v>19</v>
      </c>
      <c r="V3" s="257">
        <f>'Book Income Statement'!W3</f>
        <v>20</v>
      </c>
      <c r="W3" s="257">
        <f>'Book Income Statement'!X3</f>
        <v>21</v>
      </c>
      <c r="X3" s="257">
        <f>'Book Income Statement'!Y3</f>
        <v>22</v>
      </c>
      <c r="Y3" s="257">
        <f>'Book Income Statement'!Z3</f>
        <v>23</v>
      </c>
      <c r="Z3" s="257">
        <f>'Book Income Statement'!AA3</f>
        <v>24</v>
      </c>
      <c r="AA3" s="258">
        <f>'Book Income Statement'!AB3</f>
        <v>25</v>
      </c>
      <c r="AB3" s="257"/>
      <c r="AC3" s="280"/>
      <c r="AD3" s="247"/>
      <c r="AE3" s="257"/>
      <c r="AF3" s="257"/>
    </row>
    <row r="4" spans="1:52" s="1" customFormat="1" ht="12.6" customHeight="1">
      <c r="A4" s="436"/>
      <c r="B4" s="437"/>
      <c r="C4" s="505">
        <f>'Book Income Statement'!D4</f>
        <v>2000</v>
      </c>
      <c r="D4" s="505">
        <f>'Book Income Statement'!E4</f>
        <v>2001</v>
      </c>
      <c r="E4" s="505">
        <f>'Book Income Statement'!F4</f>
        <v>2002</v>
      </c>
      <c r="F4" s="505">
        <f>'Book Income Statement'!G4</f>
        <v>2003</v>
      </c>
      <c r="G4" s="505">
        <f>'Book Income Statement'!H4</f>
        <v>2004</v>
      </c>
      <c r="H4" s="505">
        <f>'Book Income Statement'!I4</f>
        <v>2005</v>
      </c>
      <c r="I4" s="505">
        <f>'Book Income Statement'!J4</f>
        <v>2006</v>
      </c>
      <c r="J4" s="505">
        <f>'Book Income Statement'!K4</f>
        <v>2007</v>
      </c>
      <c r="K4" s="505">
        <f>'Book Income Statement'!L4</f>
        <v>2008</v>
      </c>
      <c r="L4" s="505">
        <f>'Book Income Statement'!M4</f>
        <v>2009</v>
      </c>
      <c r="M4" s="505">
        <f>'Book Income Statement'!N4</f>
        <v>2010</v>
      </c>
      <c r="N4" s="505">
        <f>'Book Income Statement'!O4</f>
        <v>2011</v>
      </c>
      <c r="O4" s="505">
        <f>'Book Income Statement'!P4</f>
        <v>2012</v>
      </c>
      <c r="P4" s="505">
        <f>'Book Income Statement'!Q4</f>
        <v>2013</v>
      </c>
      <c r="Q4" s="505">
        <f>'Book Income Statement'!R4</f>
        <v>2014</v>
      </c>
      <c r="R4" s="505">
        <f>'Book Income Statement'!S4</f>
        <v>2015</v>
      </c>
      <c r="S4" s="505">
        <f>'Book Income Statement'!T4</f>
        <v>2016</v>
      </c>
      <c r="T4" s="505">
        <f>'Book Income Statement'!U4</f>
        <v>2017</v>
      </c>
      <c r="U4" s="505">
        <f>'Book Income Statement'!V4</f>
        <v>2018</v>
      </c>
      <c r="V4" s="505">
        <f>'Book Income Statement'!W4</f>
        <v>2019</v>
      </c>
      <c r="W4" s="505">
        <f>'Book Income Statement'!X4</f>
        <v>2020</v>
      </c>
      <c r="X4" s="505">
        <f>'Book Income Statement'!Y4</f>
        <v>2021</v>
      </c>
      <c r="Y4" s="505">
        <f>'Book Income Statement'!Z4</f>
        <v>2022</v>
      </c>
      <c r="Z4" s="505">
        <f>'Book Income Statement'!AA4</f>
        <v>2023</v>
      </c>
      <c r="AA4" s="506">
        <f>'Book Income Statement'!AB4</f>
        <v>2024</v>
      </c>
      <c r="AB4" s="259"/>
      <c r="AC4" s="259"/>
      <c r="AD4" s="247"/>
      <c r="AE4" s="259"/>
      <c r="AF4" s="259"/>
      <c r="AG4" s="32"/>
      <c r="AH4" s="32"/>
      <c r="AI4" s="32"/>
      <c r="AJ4" s="32"/>
      <c r="AK4" s="32"/>
      <c r="AL4" s="32"/>
      <c r="AM4" s="32"/>
      <c r="AN4" s="32"/>
      <c r="AO4" s="32"/>
      <c r="AP4" s="32"/>
      <c r="AQ4" s="32"/>
      <c r="AR4" s="32"/>
      <c r="AS4" s="32"/>
      <c r="AT4" s="32"/>
      <c r="AU4" s="32"/>
      <c r="AV4" s="32"/>
      <c r="AW4" s="32"/>
      <c r="AX4" s="32"/>
      <c r="AY4" s="32"/>
      <c r="AZ4" s="32"/>
    </row>
    <row r="5" spans="1:52" s="45" customFormat="1" ht="15.75">
      <c r="A5" s="670" t="s">
        <v>167</v>
      </c>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524"/>
      <c r="AB5" s="253"/>
      <c r="AC5" s="253"/>
      <c r="AD5" s="253"/>
      <c r="AE5" s="253"/>
      <c r="AF5" s="253"/>
    </row>
    <row r="6" spans="1:52" s="8" customFormat="1" ht="12.6" customHeight="1">
      <c r="A6" s="688" t="s">
        <v>38</v>
      </c>
      <c r="B6" s="810">
        <f>'Project Assumptions'!G16</f>
        <v>36678</v>
      </c>
      <c r="C6" s="810">
        <f>DATE(YEAR(B6),12,31)</f>
        <v>36891</v>
      </c>
      <c r="D6" s="810">
        <f t="shared" ref="D6:AA6" si="0">EDATE(C6,12)</f>
        <v>37256</v>
      </c>
      <c r="E6" s="810">
        <f t="shared" si="0"/>
        <v>37621</v>
      </c>
      <c r="F6" s="810">
        <f t="shared" si="0"/>
        <v>37986</v>
      </c>
      <c r="G6" s="810">
        <f t="shared" si="0"/>
        <v>38352</v>
      </c>
      <c r="H6" s="810">
        <f t="shared" si="0"/>
        <v>38717</v>
      </c>
      <c r="I6" s="810">
        <f t="shared" si="0"/>
        <v>39082</v>
      </c>
      <c r="J6" s="810">
        <f t="shared" si="0"/>
        <v>39447</v>
      </c>
      <c r="K6" s="810">
        <f t="shared" si="0"/>
        <v>39813</v>
      </c>
      <c r="L6" s="810">
        <f t="shared" si="0"/>
        <v>40178</v>
      </c>
      <c r="M6" s="810">
        <f t="shared" si="0"/>
        <v>40543</v>
      </c>
      <c r="N6" s="810">
        <f t="shared" si="0"/>
        <v>40908</v>
      </c>
      <c r="O6" s="810">
        <f t="shared" si="0"/>
        <v>41274</v>
      </c>
      <c r="P6" s="810">
        <f t="shared" si="0"/>
        <v>41639</v>
      </c>
      <c r="Q6" s="810">
        <f t="shared" si="0"/>
        <v>42004</v>
      </c>
      <c r="R6" s="810">
        <f t="shared" si="0"/>
        <v>42369</v>
      </c>
      <c r="S6" s="810">
        <f t="shared" si="0"/>
        <v>42735</v>
      </c>
      <c r="T6" s="810">
        <f t="shared" si="0"/>
        <v>43100</v>
      </c>
      <c r="U6" s="810">
        <f t="shared" si="0"/>
        <v>43465</v>
      </c>
      <c r="V6" s="810">
        <f t="shared" si="0"/>
        <v>43830</v>
      </c>
      <c r="W6" s="810">
        <f t="shared" si="0"/>
        <v>44196</v>
      </c>
      <c r="X6" s="810">
        <f t="shared" si="0"/>
        <v>44561</v>
      </c>
      <c r="Y6" s="810">
        <f t="shared" si="0"/>
        <v>44926</v>
      </c>
      <c r="Z6" s="810">
        <f t="shared" si="0"/>
        <v>45291</v>
      </c>
      <c r="AA6" s="811">
        <f t="shared" si="0"/>
        <v>45657</v>
      </c>
      <c r="AB6" s="253"/>
      <c r="AC6" s="253"/>
      <c r="AD6" s="205"/>
      <c r="AE6" s="205"/>
      <c r="AF6" s="205"/>
    </row>
    <row r="7" spans="1:52" s="8" customFormat="1" ht="12.6" customHeight="1">
      <c r="A7" s="523" t="s">
        <v>169</v>
      </c>
      <c r="B7" s="591">
        <f>'Project Assumptions'!C8*-1</f>
        <v>-43592.404500000004</v>
      </c>
      <c r="C7" s="591">
        <f>'Cash Flow Statement'!D20</f>
        <v>-2251.1902156847636</v>
      </c>
      <c r="D7" s="591">
        <f>'Cash Flow Statement'!E20+'Cash Flow Statement'!E43</f>
        <v>7264.0896239149524</v>
      </c>
      <c r="E7" s="591">
        <f>'Cash Flow Statement'!F20+'Cash Flow Statement'!F43</f>
        <v>5587.0181749130334</v>
      </c>
      <c r="F7" s="591">
        <f>'Cash Flow Statement'!G20+'Cash Flow Statement'!G43</f>
        <v>9092.514268850904</v>
      </c>
      <c r="G7" s="591">
        <f>'Cash Flow Statement'!H20+'Cash Flow Statement'!H43</f>
        <v>17472.031389271702</v>
      </c>
      <c r="H7" s="591">
        <f>'Cash Flow Statement'!I20+'Cash Flow Statement'!I43</f>
        <v>18184.720577077576</v>
      </c>
      <c r="I7" s="591">
        <f>'Cash Flow Statement'!J20+'Cash Flow Statement'!J43</f>
        <v>18181.01209328504</v>
      </c>
      <c r="J7" s="591">
        <f>'Cash Flow Statement'!K20+'Cash Flow Statement'!K43</f>
        <v>19609.356060211234</v>
      </c>
      <c r="K7" s="591">
        <f>'Cash Flow Statement'!L20+'Cash Flow Statement'!L43</f>
        <v>16443.578429652131</v>
      </c>
      <c r="L7" s="591">
        <f>'Cash Flow Statement'!M20+'Cash Flow Statement'!M43</f>
        <v>15538.42102823182</v>
      </c>
      <c r="M7" s="591">
        <f>'Cash Flow Statement'!N20+'Cash Flow Statement'!N43</f>
        <v>26603.38741070616</v>
      </c>
      <c r="N7" s="591">
        <f>'Cash Flow Statement'!O20+'Cash Flow Statement'!O43</f>
        <v>27162.020829276884</v>
      </c>
      <c r="O7" s="591">
        <f>'Cash Flow Statement'!P20+'Cash Flow Statement'!P43</f>
        <v>27728.285089308083</v>
      </c>
      <c r="P7" s="591">
        <f>'Cash Flow Statement'!Q20+'Cash Flow Statement'!Q43</f>
        <v>28279.251863406873</v>
      </c>
      <c r="Q7" s="591">
        <f>'Cash Flow Statement'!R20+'Cash Flow Statement'!R43</f>
        <v>28813.75361568169</v>
      </c>
      <c r="R7" s="591">
        <f>'Cash Flow Statement'!S20+'Cash Flow Statement'!S43</f>
        <v>29330.566525824757</v>
      </c>
      <c r="S7" s="591">
        <f>'Cash Flow Statement'!T20+'Cash Flow Statement'!T43</f>
        <v>26297.423398329458</v>
      </c>
      <c r="T7" s="591">
        <f>'Cash Flow Statement'!U20+'Cash Flow Statement'!U43</f>
        <v>25651.39095322285</v>
      </c>
      <c r="U7" s="591">
        <f>'Cash Flow Statement'!V20+'Cash Flow Statement'!V43</f>
        <v>24392.973656485476</v>
      </c>
      <c r="V7" s="591">
        <f>'Cash Flow Statement'!W20+'Cash Flow Statement'!W43</f>
        <v>23990.859198333146</v>
      </c>
      <c r="W7" s="591">
        <f>'Cash Flow Statement'!X20+'Cash Flow Statement'!X43</f>
        <v>13553.107195022852</v>
      </c>
      <c r="X7" s="591">
        <f>'Cash Flow Statement'!Y20+'Cash Flow Statement'!Y43</f>
        <v>0</v>
      </c>
      <c r="Y7" s="591">
        <f>'Cash Flow Statement'!Z20+'Cash Flow Statement'!Z43</f>
        <v>0</v>
      </c>
      <c r="Z7" s="591">
        <f>'Cash Flow Statement'!AA20+'Cash Flow Statement'!AA43</f>
        <v>0</v>
      </c>
      <c r="AA7" s="626">
        <f>'Cash Flow Statement'!AB20+'Cash Flow Statement'!AB43</f>
        <v>0</v>
      </c>
      <c r="AB7" s="253"/>
      <c r="AC7" s="253"/>
      <c r="AD7" s="205"/>
      <c r="AE7" s="205"/>
      <c r="AF7" s="205"/>
    </row>
    <row r="8" spans="1:52" s="8" customFormat="1" ht="12.6" customHeight="1">
      <c r="A8" s="511" t="s">
        <v>39</v>
      </c>
      <c r="B8" s="253"/>
      <c r="C8" s="812" t="e">
        <f>XIRR($B$7:C7,$B$6:C6)</f>
        <v>#NUM!</v>
      </c>
      <c r="D8" s="812">
        <f>XIRR($B$7:D7,$B$6:D6)</f>
        <v>-0.69695317260921019</v>
      </c>
      <c r="E8" s="812">
        <f>XIRR($B$7:E7,$B$6:E6)</f>
        <v>-0.46050733849406256</v>
      </c>
      <c r="F8" s="812">
        <f>XIRR($B$7:F7,$B$6:F6)</f>
        <v>-0.23625596985220915</v>
      </c>
      <c r="G8" s="812">
        <f>XIRR($B$7:G7,$B$6:G6)</f>
        <v>-4.2047885060310361E-2</v>
      </c>
      <c r="H8" s="812">
        <f>XIRR($B$7:H7,$B$6:H6)</f>
        <v>5.739457905292511E-2</v>
      </c>
      <c r="I8" s="812">
        <f>XIRR($B$7:I7,$B$6:I6)</f>
        <v>0.11589660048484804</v>
      </c>
      <c r="J8" s="812">
        <f>XIRR($B$7:J7,$B$6:J6)</f>
        <v>0.15582999587059024</v>
      </c>
      <c r="K8" s="812">
        <f>XIRR($B$7:K7,$B$6:K6)</f>
        <v>0.17835972905159003</v>
      </c>
      <c r="L8" s="812">
        <f>XIRR($B$7:L7,$B$6:L6)</f>
        <v>0.1935188472270965</v>
      </c>
      <c r="M8" s="812">
        <f>XIRR($B$7:M7,$B$6:M6)</f>
        <v>0.2116853177547455</v>
      </c>
      <c r="N8" s="812">
        <f>XIRR($B$7:N7,$B$6:N6)</f>
        <v>0.22447349429130553</v>
      </c>
      <c r="O8" s="812">
        <f>XIRR($B$7:O7,$B$6:O6)</f>
        <v>0.23373079895973206</v>
      </c>
      <c r="P8" s="812">
        <f>XIRR($B$7:P7,$B$6:P6)</f>
        <v>0.24056982398033142</v>
      </c>
      <c r="Q8" s="812">
        <f>XIRR($B$7:Q7,$B$6:Q6)</f>
        <v>0.24569812417030337</v>
      </c>
      <c r="R8" s="812">
        <f>XIRR($B$7:R7,$B$6:R6)</f>
        <v>0.2495883524417877</v>
      </c>
      <c r="S8" s="812">
        <f>XIRR($B$7:S7,$B$6:S6)</f>
        <v>0.25222087502479551</v>
      </c>
      <c r="T8" s="812">
        <f>XIRR($B$7:T7,$B$6:T6)</f>
        <v>0.25418313145637506</v>
      </c>
      <c r="U8" s="812">
        <f>XIRR($B$7:U7,$B$6:U6)</f>
        <v>0.25561984181404107</v>
      </c>
      <c r="V8" s="812">
        <f>XIRR($B$7:V7,$B$6:V6)</f>
        <v>0.25671427845954897</v>
      </c>
      <c r="W8" s="812">
        <f>XIRR($B$7:W7,$B$6:W6)</f>
        <v>0.25719700455665584</v>
      </c>
      <c r="X8" s="812">
        <f>XIRR($B$7:X7,$B$6:X6)</f>
        <v>0.25719700455665584</v>
      </c>
      <c r="Y8" s="812">
        <f>XIRR($B$7:Y7,$B$6:Y6)</f>
        <v>0.25719700455665584</v>
      </c>
      <c r="Z8" s="812">
        <f>XIRR($B$7:Z7,$B$6:Z6)</f>
        <v>0.25719700455665584</v>
      </c>
      <c r="AA8" s="813">
        <f>XIRR($B$7:AA7,$B$6:AA6)</f>
        <v>0.25719700455665584</v>
      </c>
      <c r="AB8" s="253"/>
      <c r="AC8" s="253"/>
      <c r="AD8" s="205"/>
      <c r="AE8" s="205"/>
      <c r="AF8" s="205"/>
    </row>
    <row r="9" spans="1:52" ht="12.6" customHeight="1">
      <c r="A9" s="511" t="s">
        <v>64</v>
      </c>
      <c r="B9" s="148"/>
      <c r="C9" s="515">
        <f>XNPV('Project Assumptions'!$I$56,$B$7:C7,$B$6:C6)</f>
        <v>-45699.53019133136</v>
      </c>
      <c r="D9" s="515">
        <f>XNPV('Project Assumptions'!$I$56,$B$7:D7,$B$6:D6)</f>
        <v>-39628.793157253443</v>
      </c>
      <c r="E9" s="515">
        <f>XNPV('Project Assumptions'!$I$56,$B$7:E7,$B$6:E6)</f>
        <v>-35459.885373931837</v>
      </c>
      <c r="F9" s="515">
        <f>XNPV('Project Assumptions'!$I$56,$B$7:F7,$B$6:F6)</f>
        <v>-29402.17963559358</v>
      </c>
      <c r="G9" s="515">
        <f>XNPV('Project Assumptions'!$I$56,$B$7:G7,$B$6:G6)</f>
        <v>-19012.199518620346</v>
      </c>
      <c r="H9" s="515">
        <f>XNPV('Project Assumptions'!$I$56,$B$7:H7,$B$6:H6)</f>
        <v>-9357.0295225682348</v>
      </c>
      <c r="I9" s="515">
        <f>XNPV('Project Assumptions'!$I$56,$B$7:I7,$B$6:I6)</f>
        <v>-738.10007784464324</v>
      </c>
      <c r="J9" s="515">
        <f>XNPV('Project Assumptions'!$I$56,$B$7:J7,$B$6:J6)</f>
        <v>7561.947456060554</v>
      </c>
      <c r="K9" s="515">
        <f>XNPV('Project Assumptions'!$I$56,$B$7:K7,$B$6:K6)</f>
        <v>13774.366104599159</v>
      </c>
      <c r="L9" s="515">
        <f>XNPV('Project Assumptions'!$I$56,$B$7:L7,$B$6:L6)</f>
        <v>19015.837775310123</v>
      </c>
      <c r="M9" s="515">
        <f>XNPV('Project Assumptions'!$I$56,$B$7:M7,$B$6:M6)</f>
        <v>27028.286700922035</v>
      </c>
      <c r="N9" s="515">
        <f>XNPV('Project Assumptions'!$I$56,$B$7:N7,$B$6:N6)</f>
        <v>34332.482230716407</v>
      </c>
      <c r="O9" s="515">
        <f>XNPV('Project Assumptions'!$I$56,$B$7:O7,$B$6:O6)</f>
        <v>40987.978688882307</v>
      </c>
      <c r="P9" s="515">
        <f>XNPV('Project Assumptions'!$I$56,$B$7:P7,$B$6:P6)</f>
        <v>47048.463111012919</v>
      </c>
      <c r="Q9" s="515">
        <f>XNPV('Project Assumptions'!$I$56,$B$7:Q7,$B$6:Q6)</f>
        <v>52561.885162780753</v>
      </c>
      <c r="R9" s="515">
        <f>XNPV('Project Assumptions'!$I$56,$B$7:R7,$B$6:R6)</f>
        <v>57572.878549556342</v>
      </c>
      <c r="S9" s="515">
        <f>XNPV('Project Assumptions'!$I$56,$B$7:S7,$B$6:S6)</f>
        <v>61583.057104483552</v>
      </c>
      <c r="T9" s="515">
        <f>XNPV('Project Assumptions'!$I$56,$B$7:T7,$B$6:T6)</f>
        <v>65075.613347764003</v>
      </c>
      <c r="U9" s="515">
        <f>XNPV('Project Assumptions'!$I$56,$B$7:U7,$B$6:U6)</f>
        <v>68040.985555325315</v>
      </c>
      <c r="V9" s="515">
        <f>XNPV('Project Assumptions'!$I$56,$B$7:V7,$B$6:V6)</f>
        <v>70644.993142865467</v>
      </c>
      <c r="W9" s="515">
        <f>XNPV('Project Assumptions'!$I$56,$B$7:W7,$B$6:W6)</f>
        <v>71958.046729100126</v>
      </c>
      <c r="X9" s="515">
        <f>XNPV('Project Assumptions'!$I$56,$B$7:X7,$B$6:X6)</f>
        <v>71958.046729100126</v>
      </c>
      <c r="Y9" s="515">
        <f>XNPV('Project Assumptions'!$I$56,$B$7:Y7,$B$6:Y6)</f>
        <v>71958.046729100126</v>
      </c>
      <c r="Z9" s="515">
        <f>XNPV('Project Assumptions'!$I$56,$B$7:Z7,$B$6:Z6)</f>
        <v>71958.046729100126</v>
      </c>
      <c r="AA9" s="516">
        <f>XNPV('Project Assumptions'!$I$56,$B$7:AA7,$B$6:AA6)</f>
        <v>71958.046729100126</v>
      </c>
    </row>
    <row r="10" spans="1:52" s="8" customFormat="1" ht="12.6" customHeight="1">
      <c r="A10" s="511"/>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524"/>
      <c r="AB10" s="253"/>
      <c r="AC10" s="253"/>
      <c r="AD10" s="205"/>
      <c r="AE10" s="205"/>
      <c r="AF10" s="205"/>
    </row>
    <row r="11" spans="1:52" s="8" customFormat="1" ht="12.6" customHeight="1">
      <c r="A11" s="523" t="s">
        <v>170</v>
      </c>
      <c r="B11" s="591">
        <f>'Project Assumptions'!C8*-1</f>
        <v>-43592.404500000004</v>
      </c>
      <c r="C11" s="591">
        <f>'Cash Flow Statement'!D22</f>
        <v>-2251.1902156847636</v>
      </c>
      <c r="D11" s="591">
        <f>'Cash Flow Statement'!E22+'Cash Flow Statement'!E43</f>
        <v>7264.0896239149524</v>
      </c>
      <c r="E11" s="591">
        <f>'Cash Flow Statement'!F22+'Cash Flow Statement'!F43</f>
        <v>5587.0181749130334</v>
      </c>
      <c r="F11" s="591">
        <f>'Cash Flow Statement'!G22+'Cash Flow Statement'!G43</f>
        <v>9092.514268850904</v>
      </c>
      <c r="G11" s="591">
        <f>'Cash Flow Statement'!H22+'Cash Flow Statement'!H43</f>
        <v>16500.361346345664</v>
      </c>
      <c r="H11" s="591">
        <f>'Cash Flow Statement'!I22+'Cash Flow Statement'!I43</f>
        <v>13083.431661103243</v>
      </c>
      <c r="I11" s="591">
        <f>'Cash Flow Statement'!J22+'Cash Flow Statement'!J43</f>
        <v>12498.531090505829</v>
      </c>
      <c r="J11" s="591">
        <f>'Cash Flow Statement'!K22+'Cash Flow Statement'!K43</f>
        <v>13357.299545514799</v>
      </c>
      <c r="K11" s="591">
        <f>'Cash Flow Statement'!L22+'Cash Flow Statement'!L43</f>
        <v>9878.8205053886268</v>
      </c>
      <c r="L11" s="591">
        <f>'Cash Flow Statement'!M22+'Cash Flow Statement'!M43</f>
        <v>8269.1340447516268</v>
      </c>
      <c r="M11" s="591">
        <f>'Cash Flow Statement'!N22+'Cash Flow Statement'!N43</f>
        <v>18819.93500928671</v>
      </c>
      <c r="N11" s="591">
        <f>'Cash Flow Statement'!O22+'Cash Flow Statement'!O43</f>
        <v>18874.991090905925</v>
      </c>
      <c r="O11" s="591">
        <f>'Cash Flow Statement'!P22+'Cash Flow Statement'!P43</f>
        <v>19205.757117248671</v>
      </c>
      <c r="P11" s="591">
        <f>'Cash Flow Statement'!Q22+'Cash Flow Statement'!Q43</f>
        <v>19541.279748885194</v>
      </c>
      <c r="Q11" s="591">
        <f>'Cash Flow Statement'!R22+'Cash Flow Statement'!R43</f>
        <v>19853.103409664731</v>
      </c>
      <c r="R11" s="591">
        <f>'Cash Flow Statement'!S22+'Cash Flow Statement'!S43</f>
        <v>18114.070297609367</v>
      </c>
      <c r="S11" s="591">
        <f>'Cash Flow Statement'!T22+'Cash Flow Statement'!T43</f>
        <v>12832.738428036106</v>
      </c>
      <c r="T11" s="591">
        <f>'Cash Flow Statement'!U22+'Cash Flow Statement'!U43</f>
        <v>11877.383338357127</v>
      </c>
      <c r="U11" s="591">
        <f>'Cash Flow Statement'!V22+'Cash Flow Statement'!V43</f>
        <v>10271.778487672589</v>
      </c>
      <c r="V11" s="591">
        <f>'Cash Flow Statement'!W22+'Cash Flow Statement'!W43</f>
        <v>9461.8899874634699</v>
      </c>
      <c r="W11" s="591">
        <f>'Cash Flow Statement'!X22+'Cash Flow Statement'!X43</f>
        <v>8082.7343034317537</v>
      </c>
      <c r="X11" s="591">
        <f>'Cash Flow Statement'!Y22+'Cash Flow Statement'!Y43</f>
        <v>0</v>
      </c>
      <c r="Y11" s="591">
        <f>'Cash Flow Statement'!Z22+'Cash Flow Statement'!Z43</f>
        <v>0</v>
      </c>
      <c r="Z11" s="591">
        <f>'Cash Flow Statement'!AA22+'Cash Flow Statement'!AA43</f>
        <v>0</v>
      </c>
      <c r="AA11" s="626">
        <f>'Cash Flow Statement'!AB22+'Cash Flow Statement'!AB43</f>
        <v>0</v>
      </c>
      <c r="AB11" s="253"/>
      <c r="AC11" s="253"/>
      <c r="AD11" s="205"/>
      <c r="AE11" s="205"/>
      <c r="AF11" s="205"/>
    </row>
    <row r="12" spans="1:52" s="8" customFormat="1" ht="12.6" customHeight="1">
      <c r="A12" s="511" t="s">
        <v>63</v>
      </c>
      <c r="B12" s="253"/>
      <c r="C12" s="812" t="e">
        <f>XIRR($B$11:C11,$B$6:C6)</f>
        <v>#NUM!</v>
      </c>
      <c r="D12" s="812">
        <f>XIRR($B$11:D11,$B$6:D6)</f>
        <v>-0.69695317260921019</v>
      </c>
      <c r="E12" s="812">
        <f>XIRR($B$11:E11,$B$6:E6)</f>
        <v>-0.46050733849406256</v>
      </c>
      <c r="F12" s="812">
        <f>XIRR($B$11:F11,$B$6:F6)</f>
        <v>-0.23625596985220915</v>
      </c>
      <c r="G12" s="812">
        <f>XIRR($B$11:G11,$B$6:G6)</f>
        <v>-4.9124917387962347E-2</v>
      </c>
      <c r="H12" s="812">
        <f>XIRR($B$11:H11,$B$6:H6)</f>
        <v>2.9898086190223692E-2</v>
      </c>
      <c r="I12" s="812">
        <f>XIRR($B$11:I11,$B$6:I6)</f>
        <v>7.889904081821443E-2</v>
      </c>
      <c r="J12" s="812">
        <f>XIRR($B$11:J11,$B$6:J6)</f>
        <v>0.11432259678840639</v>
      </c>
      <c r="K12" s="812">
        <f>XIRR($B$11:K11,$B$6:K6)</f>
        <v>0.13302392363548277</v>
      </c>
      <c r="L12" s="812">
        <f>XIRR($B$11:L11,$B$6:L6)</f>
        <v>0.14491298794746399</v>
      </c>
      <c r="M12" s="812">
        <f>XIRR($B$11:M11,$B$6:M6)</f>
        <v>0.16459884047508241</v>
      </c>
      <c r="N12" s="812">
        <f>XIRR($B$11:N11,$B$6:N6)</f>
        <v>0.17841851115226748</v>
      </c>
      <c r="O12" s="812">
        <f>XIRR($B$11:O11,$B$6:O6)</f>
        <v>0.18858472704887391</v>
      </c>
      <c r="P12" s="812">
        <f>XIRR($B$11:P11,$B$6:P6)</f>
        <v>0.19623219370841979</v>
      </c>
      <c r="Q12" s="812">
        <f>XIRR($B$11:Q11,$B$6:Q6)</f>
        <v>0.2020727217197418</v>
      </c>
      <c r="R12" s="812">
        <f>XIRR($B$11:R11,$B$6:R6)</f>
        <v>0.20614780783653261</v>
      </c>
      <c r="S12" s="812">
        <f>XIRR($B$11:S11,$B$6:S6)</f>
        <v>0.20840587019920351</v>
      </c>
      <c r="T12" s="812">
        <f>XIRR($B$11:T11,$B$6:T6)</f>
        <v>0.2100695073604584</v>
      </c>
      <c r="U12" s="812">
        <f>XIRR($B$11:U11,$B$6:U6)</f>
        <v>0.21122340559959416</v>
      </c>
      <c r="V12" s="812">
        <f>XIRR($B$11:V11,$B$6:V6)</f>
        <v>0.21208106875419616</v>
      </c>
      <c r="W12" s="812">
        <f>XIRR($B$11:W11,$B$6:W6)</f>
        <v>0.21267464756965634</v>
      </c>
      <c r="X12" s="812">
        <f>XIRR($B$11:X11,$B$6:X6)</f>
        <v>0.21267464756965634</v>
      </c>
      <c r="Y12" s="812">
        <f>XIRR($B$11:Y11,$B$6:Y6)</f>
        <v>0.21267464756965634</v>
      </c>
      <c r="Z12" s="812">
        <f>XIRR($B$11:Z11,$B$6:Z6)</f>
        <v>0.21267464756965634</v>
      </c>
      <c r="AA12" s="813">
        <f>XIRR($B$11:AA11,$B$6:AA6)</f>
        <v>0.21267464756965634</v>
      </c>
      <c r="AB12" s="253"/>
      <c r="AC12" s="253"/>
      <c r="AD12" s="205"/>
      <c r="AE12" s="205"/>
      <c r="AF12" s="205"/>
    </row>
    <row r="13" spans="1:52" ht="12.6" customHeight="1">
      <c r="A13" s="511" t="s">
        <v>65</v>
      </c>
      <c r="B13" s="148"/>
      <c r="C13" s="515">
        <f>XNPV('Project Assumptions'!$I$56,$B$11:C11,$B$6:C6)</f>
        <v>-45699.53019133136</v>
      </c>
      <c r="D13" s="515">
        <f>XNPV('Project Assumptions'!$I$56,$B$11:D11,$B$6:D6)</f>
        <v>-39628.793157253443</v>
      </c>
      <c r="E13" s="515">
        <f>XNPV('Project Assumptions'!$I$56,$B$11:E11,$B$6:E6)</f>
        <v>-35459.885373931837</v>
      </c>
      <c r="F13" s="515">
        <f>XNPV('Project Assumptions'!$I$56,$B$11:F11,$B$6:F6)</f>
        <v>-29402.17963559358</v>
      </c>
      <c r="G13" s="515">
        <f>XNPV('Project Assumptions'!$I$56,$B$11:G11,$B$6:G6)</f>
        <v>-19590.016270509826</v>
      </c>
      <c r="H13" s="515">
        <f>XNPV('Project Assumptions'!$I$56,$B$11:H11,$B$6:H6)</f>
        <v>-12643.373550086828</v>
      </c>
      <c r="I13" s="515">
        <f>XNPV('Project Assumptions'!$I$56,$B$11:I11,$B$6:I6)</f>
        <v>-6718.2931926769879</v>
      </c>
      <c r="J13" s="515">
        <f>XNPV('Project Assumptions'!$I$56,$B$11:J11,$B$6:J6)</f>
        <v>-1064.5521513105914</v>
      </c>
      <c r="K13" s="515">
        <f>XNPV('Project Assumptions'!$I$56,$B$11:K11,$B$6:K6)</f>
        <v>2667.6870930726764</v>
      </c>
      <c r="L13" s="515">
        <f>XNPV('Project Assumptions'!$I$56,$B$11:L11,$B$6:L6)</f>
        <v>5457.0587903724318</v>
      </c>
      <c r="M13" s="515">
        <f>XNPV('Project Assumptions'!$I$56,$B$11:M11,$B$6:M6)</f>
        <v>11125.275612436246</v>
      </c>
      <c r="N13" s="515">
        <f>XNPV('Project Assumptions'!$I$56,$B$11:N11,$B$6:N6)</f>
        <v>16200.988734727302</v>
      </c>
      <c r="O13" s="515">
        <f>XNPV('Project Assumptions'!$I$56,$B$11:O11,$B$6:O6)</f>
        <v>20810.860858392516</v>
      </c>
      <c r="P13" s="515">
        <f>XNPV('Project Assumptions'!$I$56,$B$11:P11,$B$6:P6)</f>
        <v>24998.723468006392</v>
      </c>
      <c r="Q13" s="515">
        <f>XNPV('Project Assumptions'!$I$56,$B$11:Q11,$B$6:Q6)</f>
        <v>28797.552999029402</v>
      </c>
      <c r="R13" s="515">
        <f>XNPV('Project Assumptions'!$I$56,$B$11:R11,$B$6:R6)</f>
        <v>31892.259212391786</v>
      </c>
      <c r="S13" s="515">
        <f>XNPV('Project Assumptions'!$I$56,$B$11:S11,$B$6:S6)</f>
        <v>33849.164710911835</v>
      </c>
      <c r="T13" s="515">
        <f>XNPV('Project Assumptions'!$I$56,$B$11:T11,$B$6:T6)</f>
        <v>35466.325722096786</v>
      </c>
      <c r="U13" s="515">
        <f>XNPV('Project Assumptions'!$I$56,$B$11:U11,$B$6:U6)</f>
        <v>36715.031471486713</v>
      </c>
      <c r="V13" s="515">
        <f>XNPV('Project Assumptions'!$I$56,$B$11:V11,$B$6:V6)</f>
        <v>37742.040680124679</v>
      </c>
      <c r="W13" s="515">
        <f>XNPV('Project Assumptions'!$I$56,$B$11:W11,$B$6:W6)</f>
        <v>38525.113012615373</v>
      </c>
      <c r="X13" s="515">
        <f>XNPV('Project Assumptions'!$I$56,$B$11:X11,$B$6:X6)</f>
        <v>38525.113012615373</v>
      </c>
      <c r="Y13" s="515">
        <f>XNPV('Project Assumptions'!$I$56,$B$11:Y11,$B$6:Y6)</f>
        <v>38525.113012615373</v>
      </c>
      <c r="Z13" s="515">
        <f>XNPV('Project Assumptions'!$I$56,$B$11:Z11,$B$6:Z6)</f>
        <v>38525.113012615373</v>
      </c>
      <c r="AA13" s="516">
        <f>XNPV('Project Assumptions'!$I$56,$B$11:AA11,$B$6:AA6)</f>
        <v>38525.113012615373</v>
      </c>
    </row>
    <row r="14" spans="1:52" s="8" customFormat="1" ht="12.6" customHeight="1">
      <c r="A14" s="511"/>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524"/>
      <c r="AB14" s="253"/>
      <c r="AC14" s="253"/>
      <c r="AD14" s="205"/>
      <c r="AE14" s="205"/>
      <c r="AF14" s="205"/>
    </row>
    <row r="15" spans="1:52" ht="12.6" customHeight="1">
      <c r="A15" s="523" t="s">
        <v>131</v>
      </c>
      <c r="B15" s="591">
        <f>-('Project Assumptions'!C8+'Project Assumptions'!C9)</f>
        <v>-174369.61799999999</v>
      </c>
      <c r="C15" s="515">
        <f>+'Cash Flow Statement'!D20+'Cash Flow Statement'!D17+'Cash Flow Statement'!D13+'Cash Flow Statement'!D12+'Cash Flow Statement'!D10</f>
        <v>23287.507145449232</v>
      </c>
      <c r="D15" s="515">
        <f>+'Cash Flow Statement'!E20+'Cash Flow Statement'!E17+'Cash Flow Statement'!E13+'Cash Flow Statement'!E12+'Cash Flow Statement'!E10</f>
        <v>32099.205576418946</v>
      </c>
      <c r="E15" s="515">
        <f>+'Cash Flow Statement'!F20+'Cash Flow Statement'!F17+'Cash Flow Statement'!F13+'Cash Flow Statement'!F12+'Cash Flow Statement'!F10</f>
        <v>31680.210921287027</v>
      </c>
      <c r="F15" s="515">
        <f>+'Cash Flow Statement'!G20+'Cash Flow Statement'!G17+'Cash Flow Statement'!G13+'Cash Flow Statement'!G12+'Cash Flow Statement'!G10</f>
        <v>36146.788757236398</v>
      </c>
      <c r="G15" s="515">
        <f>+'Cash Flow Statement'!H20+'Cash Flow Statement'!H17+'Cash Flow Statement'!H13+'Cash Flow Statement'!H12+'Cash Flow Statement'!H10</f>
        <v>39410.039731110199</v>
      </c>
      <c r="H15" s="515">
        <f>+'Cash Flow Statement'!I20+'Cash Flow Statement'!I17+'Cash Flow Statement'!I13+'Cash Flow Statement'!I12+'Cash Flow Statement'!I10</f>
        <v>39297.671172210197</v>
      </c>
      <c r="I15" s="515">
        <f>+'Cash Flow Statement'!J20+'Cash Flow Statement'!J17+'Cash Flow Statement'!J13+'Cash Flow Statement'!J12+'Cash Flow Statement'!J10</f>
        <v>39175.101894611777</v>
      </c>
      <c r="J15" s="515">
        <f>+'Cash Flow Statement'!K20+'Cash Flow Statement'!K17+'Cash Flow Statement'!K13+'Cash Flow Statement'!K12+'Cash Flow Statement'!K10</f>
        <v>39662.854293337652</v>
      </c>
      <c r="K15" s="515">
        <f>+'Cash Flow Statement'!L20+'Cash Flow Statement'!L17+'Cash Flow Statement'!L13+'Cash Flow Statement'!L12+'Cash Flow Statement'!L10</f>
        <v>39479.801499578229</v>
      </c>
      <c r="L15" s="515">
        <f>+'Cash Flow Statement'!M20+'Cash Flow Statement'!M17+'Cash Flow Statement'!M13+'Cash Flow Statement'!M12+'Cash Flow Statement'!M10</f>
        <v>39707.917581640591</v>
      </c>
      <c r="M15" s="515">
        <f>+'Cash Flow Statement'!N20+'Cash Flow Statement'!N17+'Cash Flow Statement'!N13+'Cash Flow Statement'!N12+'Cash Flow Statement'!N10</f>
        <v>39017.482406344679</v>
      </c>
      <c r="N15" s="515">
        <f>+'Cash Flow Statement'!O20+'Cash Flow Statement'!O17+'Cash Flow Statement'!O13+'Cash Flow Statement'!O12+'Cash Flow Statement'!O10</f>
        <v>39820.17749183764</v>
      </c>
      <c r="O15" s="515">
        <f>+'Cash Flow Statement'!P20+'Cash Flow Statement'!P17+'Cash Flow Statement'!P13+'Cash Flow Statement'!P12+'Cash Flow Statement'!P10</f>
        <v>39808.772644396646</v>
      </c>
      <c r="P15" s="515">
        <f>+'Cash Flow Statement'!Q20+'Cash Flow Statement'!Q17+'Cash Flow Statement'!Q13+'Cash Flow Statement'!Q12+'Cash Flow Statement'!Q10</f>
        <v>39782.070311023235</v>
      </c>
      <c r="Q15" s="515">
        <f>+'Cash Flow Statement'!R20+'Cash Flow Statement'!R17+'Cash Flow Statement'!R13+'Cash Flow Statement'!R12+'Cash Flow Statement'!R10</f>
        <v>39738.902955825848</v>
      </c>
      <c r="R15" s="515">
        <f>+'Cash Flow Statement'!S20+'Cash Flow Statement'!S17+'Cash Flow Statement'!S13+'Cash Flow Statement'!S12+'Cash Flow Statement'!S10</f>
        <v>39678.046758496712</v>
      </c>
      <c r="S15" s="515">
        <f>+'Cash Flow Statement'!T20+'Cash Flow Statement'!T17+'Cash Flow Statement'!T13+'Cash Flow Statement'!T12+'Cash Flow Statement'!T10</f>
        <v>39598.21928802922</v>
      </c>
      <c r="T15" s="515">
        <f>+'Cash Flow Statement'!U20+'Cash Flow Statement'!U17+'Cash Flow Statement'!U13+'Cash Flow Statement'!U12+'Cash Flow Statement'!U10</f>
        <v>39209.242533778204</v>
      </c>
      <c r="U15" s="515">
        <f>+'Cash Flow Statement'!V20+'Cash Flow Statement'!V17+'Cash Flow Statement'!V13+'Cash Flow Statement'!V12+'Cash Flow Statement'!V10</f>
        <v>38683.010237807553</v>
      </c>
      <c r="V15" s="515">
        <f>+'Cash Flow Statement'!W20+'Cash Flow Statement'!W17+'Cash Flow Statement'!W13+'Cash Flow Statement'!W12+'Cash Flow Statement'!W10</f>
        <v>37960.282363038626</v>
      </c>
      <c r="W15" s="515">
        <f>+'Cash Flow Statement'!X20+'Cash Flow Statement'!X17+'Cash Flow Statement'!X13+'Cash Flow Statement'!X12+'Cash Flow Statement'!X10</f>
        <v>13553.107195022856</v>
      </c>
      <c r="X15" s="515">
        <f>+'Cash Flow Statement'!Y20+'Cash Flow Statement'!Y17+'Cash Flow Statement'!Y13+'Cash Flow Statement'!Y12+'Cash Flow Statement'!Y10</f>
        <v>0</v>
      </c>
      <c r="Y15" s="515">
        <f>+'Cash Flow Statement'!Z20+'Cash Flow Statement'!Z17+'Cash Flow Statement'!Z13+'Cash Flow Statement'!Z12+'Cash Flow Statement'!Z10</f>
        <v>0</v>
      </c>
      <c r="Z15" s="515">
        <f>+'Cash Flow Statement'!AA20+'Cash Flow Statement'!AA17+'Cash Flow Statement'!AA13+'Cash Flow Statement'!AA12+'Cash Flow Statement'!AA10</f>
        <v>0</v>
      </c>
      <c r="AA15" s="516">
        <f>+'Cash Flow Statement'!AB20+'Cash Flow Statement'!AB17+'Cash Flow Statement'!AB13+'Cash Flow Statement'!AB12+'Cash Flow Statement'!AB10</f>
        <v>0</v>
      </c>
    </row>
    <row r="16" spans="1:52" s="8" customFormat="1" ht="12.6" customHeight="1">
      <c r="A16" s="511" t="s">
        <v>129</v>
      </c>
      <c r="B16" s="253"/>
      <c r="C16" s="812">
        <f>XIRR($B$15:C15,$B$6:C6)</f>
        <v>-0.96825287118554115</v>
      </c>
      <c r="D16" s="812">
        <f>XIRR($B$15:D15,$B$6:D6)</f>
        <v>-0.59601806327700624</v>
      </c>
      <c r="E16" s="812">
        <f>XIRR($B$15:E15,$B$6:E6)</f>
        <v>-0.32057359740138058</v>
      </c>
      <c r="F16" s="812">
        <f>XIRR($B$15:F15,$B$6:F6)</f>
        <v>-0.13866845183074475</v>
      </c>
      <c r="G16" s="812">
        <f>XIRR($B$15:G15,$B$6:G6)</f>
        <v>-2.4333414435386655E-2</v>
      </c>
      <c r="H16" s="812">
        <f>XIRR($B$15:H15,$B$6:H6)</f>
        <v>4.5647999644279472E-2</v>
      </c>
      <c r="I16" s="812">
        <f>XIRR($B$15:I15,$B$6:I6)</f>
        <v>9.1255661845207212E-2</v>
      </c>
      <c r="J16" s="812">
        <f>XIRR($B$15:J15,$B$6:J6)</f>
        <v>0.12272785305976866</v>
      </c>
      <c r="K16" s="812">
        <f>XIRR($B$15:K15,$B$6:K6)</f>
        <v>0.14476193785667418</v>
      </c>
      <c r="L16" s="812">
        <f>XIRR($B$15:L15,$B$6:L6)</f>
        <v>0.16076552271842959</v>
      </c>
      <c r="M16" s="812">
        <f>XIRR($B$15:M15,$B$6:M6)</f>
        <v>0.17236896157264711</v>
      </c>
      <c r="N16" s="812">
        <f>XIRR($B$15:N15,$B$6:N6)</f>
        <v>0.18125575184822085</v>
      </c>
      <c r="O16" s="812">
        <f>XIRR($B$15:O15,$B$6:O6)</f>
        <v>0.18800553679466248</v>
      </c>
      <c r="P16" s="812">
        <f>XIRR($B$15:P15,$B$6:P6)</f>
        <v>0.19319402575492861</v>
      </c>
      <c r="Q16" s="812">
        <f>XIRR($B$15:Q15,$B$6:Q6)</f>
        <v>0.19722082018852238</v>
      </c>
      <c r="R16" s="812">
        <f>XIRR($B$15:R15,$B$6:R6)</f>
        <v>0.20037121176719666</v>
      </c>
      <c r="S16" s="812">
        <f>XIRR($B$15:S15,$B$6:S6)</f>
        <v>0.20285137295722963</v>
      </c>
      <c r="T16" s="812">
        <f>XIRR($B$15:T15,$B$6:T6)</f>
        <v>0.20480187535285951</v>
      </c>
      <c r="U16" s="812">
        <f>XIRR($B$15:U15,$B$6:U6)</f>
        <v>0.20633884072303774</v>
      </c>
      <c r="V16" s="812">
        <f>XIRR($B$15:V15,$B$6:V6)</f>
        <v>0.20754938721656802</v>
      </c>
      <c r="W16" s="812">
        <f>XIRR($B$15:W15,$B$6:W6)</f>
        <v>0.20790030360221864</v>
      </c>
      <c r="X16" s="812">
        <f>XIRR($B$15:X15,$B$6:X6)</f>
        <v>0.20790030360221864</v>
      </c>
      <c r="Y16" s="812">
        <f>XIRR($B$15:Y15,$B$6:Y6)</f>
        <v>0.20790030360221864</v>
      </c>
      <c r="Z16" s="812">
        <f>XIRR($B$15:Z15,$B$6:Z6)</f>
        <v>0.20790030360221864</v>
      </c>
      <c r="AA16" s="813">
        <f>XIRR($B$15:AA15,$B$6:AA6)</f>
        <v>0.20790030360221864</v>
      </c>
      <c r="AB16" s="253"/>
      <c r="AC16" s="253"/>
      <c r="AD16" s="205"/>
      <c r="AE16" s="205"/>
      <c r="AF16" s="205"/>
    </row>
    <row r="17" spans="1:32" ht="12.6" customHeight="1">
      <c r="A17" s="511" t="s">
        <v>130</v>
      </c>
      <c r="B17" s="148"/>
      <c r="C17" s="515">
        <f>XNPV('Project Assumptions'!$I$56,$B$15:C15,$B$6:C6)</f>
        <v>-152572.39080375765</v>
      </c>
      <c r="D17" s="515">
        <f>XNPV('Project Assumptions'!$I$56,$B$15:D15,$B$6:D6)</f>
        <v>-125746.47783378183</v>
      </c>
      <c r="E17" s="515">
        <f>XNPV('Project Assumptions'!$I$56,$B$15:E15,$B$6:E6)</f>
        <v>-102107.41424883483</v>
      </c>
      <c r="F17" s="515">
        <f>XNPV('Project Assumptions'!$I$56,$B$15:F15,$B$6:F6)</f>
        <v>-78025.339346038512</v>
      </c>
      <c r="G17" s="515">
        <f>XNPV('Project Assumptions'!$I$56,$B$15:G15,$B$6:G6)</f>
        <v>-54589.625427462022</v>
      </c>
      <c r="H17" s="515">
        <f>XNPV('Project Assumptions'!$I$56,$B$15:H15,$B$6:H6)</f>
        <v>-33724.542897960622</v>
      </c>
      <c r="I17" s="515">
        <f>XNPV('Project Assumptions'!$I$56,$B$15:I15,$B$6:I6)</f>
        <v>-15153.110378853347</v>
      </c>
      <c r="J17" s="515">
        <f>XNPV('Project Assumptions'!$I$56,$B$15:J15,$B$6:J6)</f>
        <v>1634.9766421700297</v>
      </c>
      <c r="K17" s="515">
        <f>XNPV('Project Assumptions'!$I$56,$B$15:K15,$B$6:K6)</f>
        <v>16550.529003589385</v>
      </c>
      <c r="L17" s="515">
        <f>XNPV('Project Assumptions'!$I$56,$B$15:L15,$B$6:L6)</f>
        <v>29944.935341849006</v>
      </c>
      <c r="M17" s="515">
        <f>XNPV('Project Assumptions'!$I$56,$B$15:M15,$B$6:M6)</f>
        <v>41696.280392779867</v>
      </c>
      <c r="N17" s="515">
        <f>XNPV('Project Assumptions'!$I$56,$B$15:N15,$B$6:N6)</f>
        <v>52404.407165070625</v>
      </c>
      <c r="O17" s="515">
        <f>XNPV('Project Assumptions'!$I$56,$B$15:O15,$B$6:O6)</f>
        <v>61959.529109517025</v>
      </c>
      <c r="P17" s="515">
        <f>XNPV('Project Assumptions'!$I$56,$B$15:P15,$B$6:P6)</f>
        <v>70485.165451121968</v>
      </c>
      <c r="Q17" s="515">
        <f>XNPV('Project Assumptions'!$I$56,$B$15:Q15,$B$6:Q6)</f>
        <v>78089.080817097391</v>
      </c>
      <c r="R17" s="515">
        <f>XNPV('Project Assumptions'!$I$56,$B$15:R15,$B$6:R6)</f>
        <v>84867.893961805603</v>
      </c>
      <c r="S17" s="515">
        <f>XNPV('Project Assumptions'!$I$56,$B$15:S15,$B$6:S6)</f>
        <v>90906.35360086846</v>
      </c>
      <c r="T17" s="515">
        <f>XNPV('Project Assumptions'!$I$56,$B$15:T15,$B$6:T6)</f>
        <v>96244.874426322538</v>
      </c>
      <c r="U17" s="515">
        <f>XNPV('Project Assumptions'!$I$56,$B$15:U15,$B$6:U6)</f>
        <v>100947.43857776235</v>
      </c>
      <c r="V17" s="515">
        <f>XNPV('Project Assumptions'!$I$56,$B$15:V15,$B$6:V6)</f>
        <v>105067.71048971568</v>
      </c>
      <c r="W17" s="515">
        <f>XNPV('Project Assumptions'!$I$56,$B$15:W15,$B$6:W6)</f>
        <v>106380.76407595034</v>
      </c>
      <c r="X17" s="515">
        <f>XNPV('Project Assumptions'!$I$56,$B$15:X15,$B$6:X6)</f>
        <v>106380.76407595034</v>
      </c>
      <c r="Y17" s="515">
        <f>XNPV('Project Assumptions'!$I$56,$B$15:Y15,$B$6:Y6)</f>
        <v>106380.76407595034</v>
      </c>
      <c r="Z17" s="515">
        <f>XNPV('Project Assumptions'!$I$56,$B$15:Z15,$B$6:Z6)</f>
        <v>106380.76407595034</v>
      </c>
      <c r="AA17" s="516">
        <f>XNPV('Project Assumptions'!$I$56,$B$15:AA15,$B$6:AA6)</f>
        <v>106380.76407595034</v>
      </c>
    </row>
    <row r="18" spans="1:32" s="8" customFormat="1" ht="12.6" customHeight="1">
      <c r="A18" s="511" t="s">
        <v>288</v>
      </c>
      <c r="B18" s="465">
        <v>0.12</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524"/>
      <c r="AB18" s="253"/>
      <c r="AC18" s="253"/>
      <c r="AD18" s="205"/>
      <c r="AE18" s="205"/>
      <c r="AF18" s="205"/>
    </row>
    <row r="19" spans="1:32" ht="12.6" customHeight="1">
      <c r="A19" s="560" t="s">
        <v>289</v>
      </c>
      <c r="B19" s="814">
        <f>NPV(B18,C11:E11)</f>
        <v>7757.6256912402696</v>
      </c>
      <c r="C19" s="148"/>
      <c r="D19" s="575" t="s">
        <v>297</v>
      </c>
      <c r="E19" s="575">
        <f>E15</f>
        <v>31680.210921287027</v>
      </c>
      <c r="F19" s="148"/>
      <c r="G19" s="148"/>
      <c r="H19" s="148"/>
      <c r="I19" s="148"/>
      <c r="J19" s="148"/>
      <c r="K19" s="148"/>
      <c r="L19" s="148"/>
      <c r="M19" s="148"/>
      <c r="N19" s="148"/>
      <c r="O19" s="148"/>
      <c r="P19" s="148"/>
      <c r="Q19" s="148"/>
      <c r="R19" s="148"/>
      <c r="S19" s="148"/>
      <c r="T19" s="148"/>
      <c r="U19" s="148"/>
      <c r="V19" s="148"/>
      <c r="W19" s="148"/>
      <c r="X19" s="148"/>
      <c r="Y19" s="148"/>
      <c r="Z19" s="148"/>
      <c r="AA19" s="559"/>
    </row>
    <row r="20" spans="1:32">
      <c r="A20" s="774" t="s">
        <v>290</v>
      </c>
      <c r="B20" s="551"/>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1"/>
      <c r="AA20" s="552"/>
    </row>
    <row r="21" spans="1:32" s="42" customFormat="1" ht="12.6" customHeight="1">
      <c r="A21" s="301"/>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05"/>
      <c r="AC21" s="205"/>
      <c r="AD21" s="205"/>
      <c r="AE21" s="205"/>
      <c r="AF21" s="205"/>
    </row>
    <row r="22" spans="1:32" s="45" customFormat="1" ht="15.75">
      <c r="A22" s="681" t="s">
        <v>168</v>
      </c>
      <c r="B22" s="534"/>
      <c r="C22" s="534"/>
      <c r="D22" s="534"/>
      <c r="E22" s="534"/>
      <c r="F22" s="534"/>
      <c r="G22" s="534"/>
      <c r="H22" s="534"/>
      <c r="I22" s="534"/>
      <c r="J22" s="534"/>
      <c r="K22" s="534"/>
      <c r="L22" s="534"/>
      <c r="M22" s="534"/>
      <c r="N22" s="534"/>
      <c r="O22" s="534"/>
      <c r="P22" s="534"/>
      <c r="Q22" s="534"/>
      <c r="R22" s="534"/>
      <c r="S22" s="534"/>
      <c r="T22" s="534"/>
      <c r="U22" s="534"/>
      <c r="V22" s="534"/>
      <c r="W22" s="534"/>
      <c r="X22" s="534"/>
      <c r="Y22" s="534"/>
      <c r="Z22" s="534"/>
      <c r="AA22" s="507"/>
      <c r="AB22" s="253"/>
      <c r="AC22" s="253"/>
      <c r="AD22" s="253"/>
      <c r="AE22" s="253"/>
      <c r="AF22" s="253"/>
    </row>
    <row r="23" spans="1:32" s="47" customFormat="1" ht="12.6" customHeight="1">
      <c r="A23" s="511" t="s">
        <v>148</v>
      </c>
      <c r="B23" s="591"/>
      <c r="C23" s="591">
        <f>'Debt Amortization'!E54</f>
        <v>15384.892950566998</v>
      </c>
      <c r="D23" s="591">
        <f>'Debt Amortization'!F54</f>
        <v>15033.102246251998</v>
      </c>
      <c r="E23" s="591">
        <f>'Debt Amortization'!G54</f>
        <v>16642.969744436996</v>
      </c>
      <c r="F23" s="591">
        <f>'Debt Amortization'!H54</f>
        <v>18104.339716692746</v>
      </c>
      <c r="G23" s="591">
        <f>'Debt Amortization'!I54</f>
        <v>13636.859326319249</v>
      </c>
      <c r="H23" s="591">
        <f>'Debt Amortization'!J54</f>
        <v>13224.330452966307</v>
      </c>
      <c r="I23" s="591">
        <f>'Debt Amortization'!K54</f>
        <v>13517.998532513369</v>
      </c>
      <c r="J23" s="591">
        <f>'Debt Amortization'!L54</f>
        <v>13047.702748413209</v>
      </c>
      <c r="K23" s="591">
        <f>'Debt Amortization'!M54</f>
        <v>16500.723369313047</v>
      </c>
      <c r="L23" s="591">
        <f>'Debt Amortization'!N54</f>
        <v>18401.287688754386</v>
      </c>
      <c r="M23" s="591">
        <f>'Debt Amortization'!O54</f>
        <v>7619.4414036192593</v>
      </c>
      <c r="N23" s="591">
        <f>'Debt Amortization'!P54</f>
        <v>8094.5707135303783</v>
      </c>
      <c r="O23" s="591">
        <f>'Debt Amortization'!Q54</f>
        <v>7805.73615979428</v>
      </c>
      <c r="P23" s="591">
        <f>'Debt Amortization'!R54</f>
        <v>7516.9016060581798</v>
      </c>
      <c r="Q23" s="591">
        <f>'Debt Amortization'!S54</f>
        <v>7228.0670523220797</v>
      </c>
      <c r="R23" s="591">
        <f>'Debt Amortization'!T54</f>
        <v>6939.2324985859796</v>
      </c>
      <c r="S23" s="591">
        <f>'Debt Amortization'!U54</f>
        <v>10181.38270934988</v>
      </c>
      <c r="T23" s="591">
        <f>'Debt Amortization'!V54</f>
        <v>11016.107507677678</v>
      </c>
      <c r="U23" s="591">
        <f>'Debt Amortization'!W54</f>
        <v>12441.495437411038</v>
      </c>
      <c r="V23" s="591">
        <f>'Debt Amortization'!X54</f>
        <v>12987.385682002739</v>
      </c>
      <c r="W23" s="591">
        <f>'Debt Amortization'!Y54</f>
        <v>1.3391399988904595E-12</v>
      </c>
      <c r="X23" s="591">
        <f>'Debt Amortization'!Z54</f>
        <v>1.3391399988904595E-12</v>
      </c>
      <c r="Y23" s="591">
        <f>'Debt Amortization'!AA54</f>
        <v>1.3391399988904595E-12</v>
      </c>
      <c r="Z23" s="591">
        <f>'Debt Amortization'!AB54</f>
        <v>1.3391399988904595E-12</v>
      </c>
      <c r="AA23" s="626">
        <f>'Debt Amortization'!AC54</f>
        <v>1.3391399988904595E-12</v>
      </c>
      <c r="AB23" s="272"/>
      <c r="AC23" s="272"/>
      <c r="AD23" s="272"/>
      <c r="AE23" s="272"/>
      <c r="AF23" s="272"/>
    </row>
    <row r="24" spans="1:32" s="42" customFormat="1" ht="12.6" customHeight="1">
      <c r="A24" s="511" t="s">
        <v>149</v>
      </c>
      <c r="B24" s="253"/>
      <c r="C24" s="815">
        <f>IF(C23&lt;=0, "N/A", +'Book Income Statement'!D63/C23)</f>
        <v>0.82882160914128122</v>
      </c>
      <c r="D24" s="815">
        <f>IF(D23&lt;=0, "N/A", +'Book Income Statement'!E63/D23)</f>
        <v>1.4648951051970402</v>
      </c>
      <c r="E24" s="815">
        <f>IF(E23&lt;=0, "N/A", +'Book Income Statement'!F63/E23)</f>
        <v>1.3192082880153149</v>
      </c>
      <c r="F24" s="815">
        <f>IF(F23&lt;=0, "N/A", +'Book Income Statement'!G63/F23)</f>
        <v>1.4836824085512359</v>
      </c>
      <c r="G24" s="815">
        <f>IF(G23&lt;=0, "N/A", +'Book Income Statement'!H63/G23)</f>
        <v>2.2530723241448234</v>
      </c>
      <c r="H24" s="815">
        <f>IF(H23&lt;=0, "N/A", +'Book Income Statement'!I63/H23)</f>
        <v>2.3457735783505238</v>
      </c>
      <c r="I24" s="815">
        <f>IF(I23&lt;=0, "N/A", +'Book Income Statement'!J63/I23)</f>
        <v>2.3159985363441526</v>
      </c>
      <c r="J24" s="815">
        <f>IF(J23&lt;=0, "N/A", +'Book Income Statement'!K63/J23)</f>
        <v>2.4719972446497076</v>
      </c>
      <c r="K24" s="815">
        <f>IF(K23&lt;=0, "N/A", +'Book Income Statement'!L63/K23)</f>
        <v>1.9718882194086444</v>
      </c>
      <c r="L24" s="815">
        <f>IF(L23&lt;=0, "N/A", +'Book Income Statement'!M63/L23)</f>
        <v>1.8216496874769994</v>
      </c>
      <c r="M24" s="815">
        <f>IF(M23&lt;=0, "N/A", +'Book Income Statement'!N63/M23)</f>
        <v>4.436063349582823</v>
      </c>
      <c r="N24" s="815">
        <f>IF(N23&lt;=0, "N/A", +'Book Income Statement'!O63/N23)</f>
        <v>4.3018124385948262</v>
      </c>
      <c r="O24" s="815">
        <f>IF(O23&lt;=0, "N/A", +'Book Income Statement'!P63/O23)</f>
        <v>4.4960947834122038</v>
      </c>
      <c r="P24" s="815">
        <f>IF(P23&lt;=0, "N/A", +'Book Income Statement'!Q63/P23)</f>
        <v>4.7032976486430202</v>
      </c>
      <c r="Q24" s="815">
        <f>IF(Q23&lt;=0, "N/A", +'Book Income Statement'!R63/Q23)</f>
        <v>4.9248104176870173</v>
      </c>
      <c r="R24" s="815">
        <f>IF(R23&lt;=0, "N/A", +'Book Income Statement'!S63/R23)</f>
        <v>5.1622457865639442</v>
      </c>
      <c r="S24" s="815">
        <f>IF(S23&lt;=0, "N/A", +'Book Income Statement'!T63/S23)</f>
        <v>3.5386598760926926</v>
      </c>
      <c r="T24" s="815">
        <f>IF(T23&lt;=0, "N/A", +'Book Income Statement'!U63/T23)</f>
        <v>3.2874418908381795</v>
      </c>
      <c r="U24" s="815">
        <f>IF(U23&lt;=0, "N/A", +'Book Income Statement'!V63/U23)</f>
        <v>2.9240634893841499</v>
      </c>
      <c r="V24" s="815">
        <f>IF(V23&lt;=0, "N/A", +'Book Income Statement'!W63/V23)</f>
        <v>2.8120919970224101</v>
      </c>
      <c r="W24" s="815">
        <f>IF(W23&lt;=0, "N/A", +'Book Income Statement'!X63/W23)</f>
        <v>9995806932108624</v>
      </c>
      <c r="X24" s="815">
        <f>IF(X23&lt;=0, "N/A", +'Book Income Statement'!Y63/X23)</f>
        <v>0</v>
      </c>
      <c r="Y24" s="815">
        <f>IF(Y23&lt;=0, "N/A", +'Book Income Statement'!Z63/Y23)</f>
        <v>0</v>
      </c>
      <c r="Z24" s="815">
        <f>IF(Z23&lt;=0, "N/A", +'Book Income Statement'!AA63/Z23)</f>
        <v>0</v>
      </c>
      <c r="AA24" s="816">
        <f>IF(AA23&lt;=0, "N/A", +'Book Income Statement'!AB63/AA23)</f>
        <v>0</v>
      </c>
      <c r="AB24" s="205"/>
      <c r="AC24" s="205"/>
      <c r="AD24" s="205"/>
      <c r="AE24" s="205"/>
      <c r="AF24" s="205"/>
    </row>
    <row r="25" spans="1:32" s="42" customFormat="1" ht="12.6" customHeight="1">
      <c r="A25" s="511" t="s">
        <v>110</v>
      </c>
      <c r="B25" s="591">
        <f>B29+B34</f>
        <v>60157.518209999995</v>
      </c>
      <c r="C25" s="812">
        <f>(($B$29+$B$34)-(IF('Project Assumptions'!$I$34="Normal",SUM('Debt Amortization'!$E$53:E53),SUM('Debt Amortization'!$E$108:E108))))/($B$29+$B$34)</f>
        <v>1</v>
      </c>
      <c r="D25" s="812">
        <f>(($B$29+$B$34)-(IF('Project Assumptions'!$I$34="Normal",SUM('Debt Amortization'!$E$53:F53),SUM('Debt Amortization'!$E$108:F108))))/($B$29+$B$34)</f>
        <v>1</v>
      </c>
      <c r="E25" s="812">
        <f>(($B$29+$B$34)-(IF('Project Assumptions'!$I$34="Normal",SUM('Debt Amortization'!$E$53:G53),SUM('Debt Amortization'!$E$108:G108))))/($B$29+$B$34)</f>
        <v>1</v>
      </c>
      <c r="F25" s="812">
        <f>(($B$29+$B$34)-(IF('Project Assumptions'!$I$34="Normal",SUM('Debt Amortization'!$E$53:H53),SUM('Debt Amortization'!$E$108:H108))))/($B$29+$B$34)</f>
        <v>1</v>
      </c>
      <c r="G25" s="812">
        <f>(($B$29+$B$34)-(IF('Project Assumptions'!$I$34="Normal",SUM('Debt Amortization'!$E$53:I53),SUM('Debt Amortization'!$E$108:I108))))/($B$29+$B$34)</f>
        <v>1</v>
      </c>
      <c r="H25" s="812">
        <f>(($B$29+$B$34)-(IF('Project Assumptions'!$I$34="Normal",SUM('Debt Amortization'!$E$53:J53),SUM('Debt Amortization'!$E$108:J108))))/($B$29+$B$34)</f>
        <v>1</v>
      </c>
      <c r="I25" s="812">
        <f>(($B$29+$B$34)-(IF('Project Assumptions'!$I$34="Normal",SUM('Debt Amortization'!$E$53:K53),SUM('Debt Amortization'!$E$108:K108))))/($B$29+$B$34)</f>
        <v>1</v>
      </c>
      <c r="J25" s="812">
        <f>(($B$29+$B$34)-(IF('Project Assumptions'!$I$34="Normal",SUM('Debt Amortization'!$E$53:L53),SUM('Debt Amortization'!$E$108:L108))))/($B$29+$B$34)</f>
        <v>1</v>
      </c>
      <c r="K25" s="812">
        <f>(($B$29+$B$34)-(IF('Project Assumptions'!$I$34="Normal",SUM('Debt Amortization'!$E$53:M53),SUM('Debt Amortization'!$E$108:M108))))/($B$29+$B$34)</f>
        <v>1</v>
      </c>
      <c r="L25" s="812">
        <f>(($B$29+$B$34)-(IF('Project Assumptions'!$I$34="Normal",SUM('Debt Amortization'!$E$53:N53),SUM('Debt Amortization'!$E$108:N108))))/($B$29+$B$34)</f>
        <v>1</v>
      </c>
      <c r="M25" s="812">
        <f>(($B$29+$B$34)-(IF('Project Assumptions'!$I$34="Normal",SUM('Debt Amortization'!$E$53:O53),SUM('Debt Amortization'!$E$108:O108))))/($B$29+$B$34)</f>
        <v>1</v>
      </c>
      <c r="N25" s="812">
        <f>(($B$29+$B$34)-(IF('Project Assumptions'!$I$34="Normal",SUM('Debt Amortization'!$E$53:P53),SUM('Debt Amortization'!$E$108:P108))))/($B$29+$B$34)</f>
        <v>1</v>
      </c>
      <c r="O25" s="812">
        <f>(($B$29+$B$34)-(IF('Project Assumptions'!$I$34="Normal",SUM('Debt Amortization'!$E$53:Q53),SUM('Debt Amortization'!$E$108:Q108))))/($B$29+$B$34)</f>
        <v>1</v>
      </c>
      <c r="P25" s="812">
        <f>(($B$29+$B$34)-(IF('Project Assumptions'!$I$34="Normal",SUM('Debt Amortization'!$E$53:R53),SUM('Debt Amortization'!$E$108:R108))))/($B$29+$B$34)</f>
        <v>1</v>
      </c>
      <c r="Q25" s="812">
        <f>(($B$29+$B$34)-(IF('Project Assumptions'!$I$34="Normal",SUM('Debt Amortization'!$E$53:S53),SUM('Debt Amortization'!$E$108:S108))))/($B$29+$B$34)</f>
        <v>1</v>
      </c>
      <c r="R25" s="812">
        <f>(($B$29+$B$34)-(IF('Project Assumptions'!$I$34="Normal",SUM('Debt Amortization'!$E$53:T53),SUM('Debt Amortization'!$E$108:T108))))/($B$29+$B$34)</f>
        <v>1</v>
      </c>
      <c r="S25" s="812">
        <f>(($B$29+$B$34)-(IF('Project Assumptions'!$I$34="Normal",SUM('Debt Amortization'!$E$53:U53),SUM('Debt Amortization'!$E$108:U108))))/($B$29+$B$34)</f>
        <v>1</v>
      </c>
      <c r="T25" s="812">
        <f>(($B$29+$B$34)-(IF('Project Assumptions'!$I$34="Normal",SUM('Debt Amortization'!$E$53:V53),SUM('Debt Amortization'!$E$108:V108))))/($B$29+$B$34)</f>
        <v>1</v>
      </c>
      <c r="U25" s="812">
        <f>(($B$29+$B$34)-(IF('Project Assumptions'!$I$34="Normal",SUM('Debt Amortization'!$E$53:W53),SUM('Debt Amortization'!$E$108:W108))))/($B$29+$B$34)</f>
        <v>1</v>
      </c>
      <c r="V25" s="812">
        <f>(($B$29+$B$34)-(IF('Project Assumptions'!$I$34="Normal",SUM('Debt Amortization'!$E$53:X53),SUM('Debt Amortization'!$E$108:X108))))/($B$29+$B$34)</f>
        <v>1</v>
      </c>
      <c r="W25" s="812">
        <f>(($B$29+$B$34)-(IF('Project Assumptions'!$I$34="Normal",SUM('Debt Amortization'!$E$53:Y53),SUM('Debt Amortization'!$E$108:Y108))))/($B$29+$B$34)</f>
        <v>1</v>
      </c>
      <c r="X25" s="812">
        <f>(($B$29+$B$34)-(IF('Project Assumptions'!$I$34="Normal",SUM('Debt Amortization'!$E$53:Z53),SUM('Debt Amortization'!$E$108:Z108))))/($B$29+$B$34)</f>
        <v>1</v>
      </c>
      <c r="Y25" s="812">
        <f>(($B$29+$B$34)-(IF('Project Assumptions'!$I$34="Normal",SUM('Debt Amortization'!$E$53:AA53),SUM('Debt Amortization'!$E$108:AA108))))/($B$29+$B$34)</f>
        <v>1</v>
      </c>
      <c r="Z25" s="812">
        <f>(($B$29+$B$34)-(IF('Project Assumptions'!$I$34="Normal",SUM('Debt Amortization'!$E$53:AB53),SUM('Debt Amortization'!$E$108:AB108))))/($B$29+$B$34)</f>
        <v>1</v>
      </c>
      <c r="AA25" s="813">
        <f>(($B$29+$B$34)-(IF('Project Assumptions'!$I$34="Normal",SUM('Debt Amortization'!$E$53:AC53),SUM('Debt Amortization'!$E$108:AC108))))/($B$29+$B$34)</f>
        <v>1</v>
      </c>
      <c r="AB25" s="205"/>
      <c r="AC25" s="205"/>
      <c r="AD25" s="205"/>
      <c r="AE25" s="205"/>
      <c r="AF25" s="205"/>
    </row>
    <row r="26" spans="1:32" s="42" customFormat="1" ht="12.6" customHeight="1">
      <c r="A26" s="511" t="s">
        <v>150</v>
      </c>
      <c r="B26" s="591">
        <f>+'Project Assumptions'!C50</f>
        <v>0</v>
      </c>
      <c r="C26" s="591">
        <f>B26+'Cash Flow Statement'!D16-'Cash Flow Statement'!D17</f>
        <v>0</v>
      </c>
      <c r="D26" s="591">
        <f>C26+'Cash Flow Statement'!E16-'Cash Flow Statement'!E17</f>
        <v>0</v>
      </c>
      <c r="E26" s="591">
        <f>D26+'Cash Flow Statement'!F16-'Cash Flow Statement'!F17</f>
        <v>0</v>
      </c>
      <c r="F26" s="591">
        <f>E26+'Cash Flow Statement'!G16-'Cash Flow Statement'!G17</f>
        <v>0</v>
      </c>
      <c r="G26" s="591">
        <f>F26+'Cash Flow Statement'!H16-'Cash Flow Statement'!H17</f>
        <v>0</v>
      </c>
      <c r="H26" s="591">
        <f>G26+'Cash Flow Statement'!I16-'Cash Flow Statement'!I17</f>
        <v>0</v>
      </c>
      <c r="I26" s="591">
        <f>H26+'Cash Flow Statement'!J16-'Cash Flow Statement'!J17</f>
        <v>0</v>
      </c>
      <c r="J26" s="591">
        <f>I26+'Cash Flow Statement'!K16-'Cash Flow Statement'!K17</f>
        <v>0</v>
      </c>
      <c r="K26" s="591">
        <f>J26+'Cash Flow Statement'!L16-'Cash Flow Statement'!L17</f>
        <v>0</v>
      </c>
      <c r="L26" s="591">
        <f>K26+'Cash Flow Statement'!M16-'Cash Flow Statement'!M17</f>
        <v>0</v>
      </c>
      <c r="M26" s="591">
        <f>L26+'Cash Flow Statement'!N16-'Cash Flow Statement'!N17</f>
        <v>0</v>
      </c>
      <c r="N26" s="591">
        <f>M26+'Cash Flow Statement'!O16-'Cash Flow Statement'!O17</f>
        <v>0</v>
      </c>
      <c r="O26" s="591">
        <f>N26+'Cash Flow Statement'!P16-'Cash Flow Statement'!P17</f>
        <v>0</v>
      </c>
      <c r="P26" s="591">
        <f>O26+'Cash Flow Statement'!Q16-'Cash Flow Statement'!Q17</f>
        <v>0</v>
      </c>
      <c r="Q26" s="591">
        <f>P26+'Cash Flow Statement'!R16+'Cash Flow Statement'!R17</f>
        <v>0</v>
      </c>
      <c r="R26" s="591">
        <f>Q26+'Cash Flow Statement'!S16+'Cash Flow Statement'!S17</f>
        <v>0</v>
      </c>
      <c r="S26" s="591">
        <f>R26+'Cash Flow Statement'!T16+'Cash Flow Statement'!T17</f>
        <v>0</v>
      </c>
      <c r="T26" s="591">
        <f>S26+'Cash Flow Statement'!U16+'Cash Flow Statement'!U17</f>
        <v>0</v>
      </c>
      <c r="U26" s="591">
        <f>T26+'Cash Flow Statement'!V16+'Cash Flow Statement'!V17</f>
        <v>0</v>
      </c>
      <c r="V26" s="591">
        <f>U26+'Cash Flow Statement'!W16+'Cash Flow Statement'!W17</f>
        <v>0</v>
      </c>
      <c r="W26" s="591">
        <f>V26+'Cash Flow Statement'!X16+'Cash Flow Statement'!X17</f>
        <v>0</v>
      </c>
      <c r="X26" s="591">
        <f>W26+'Cash Flow Statement'!Y16+'Cash Flow Statement'!Y17</f>
        <v>0</v>
      </c>
      <c r="Y26" s="591">
        <f>X26+'Cash Flow Statement'!Z16+'Cash Flow Statement'!Z17</f>
        <v>0</v>
      </c>
      <c r="Z26" s="591">
        <f>Y26+'Cash Flow Statement'!AA16+'Cash Flow Statement'!AA17</f>
        <v>0</v>
      </c>
      <c r="AA26" s="626">
        <f>Z26+'Cash Flow Statement'!AB16+'Cash Flow Statement'!AB17</f>
        <v>0</v>
      </c>
      <c r="AB26" s="205"/>
      <c r="AC26" s="205"/>
      <c r="AD26" s="205"/>
      <c r="AE26" s="205"/>
      <c r="AF26" s="205"/>
    </row>
    <row r="27" spans="1:32" s="47" customFormat="1" ht="12.6" customHeight="1">
      <c r="A27" s="511" t="str">
        <f>"  Debt Reserve Interest Income @ "&amp;'Project Assumptions'!I48*100&amp;"%"</f>
        <v xml:space="preserve">  Debt Reserve Interest Income @ 0%</v>
      </c>
      <c r="B27" s="817"/>
      <c r="C27" s="591">
        <f>C26*'Project Assumptions'!$I$48*(SUM('Book Income Statement'!D6:D8)/12)</f>
        <v>0</v>
      </c>
      <c r="D27" s="591">
        <f>D26*'Project Assumptions'!$I$48*(SUM('Book Income Statement'!E6:E8)/12)</f>
        <v>0</v>
      </c>
      <c r="E27" s="591">
        <f>E26*'Project Assumptions'!$I$48*(SUM('Book Income Statement'!F6:F8)/12)</f>
        <v>0</v>
      </c>
      <c r="F27" s="591">
        <f>F26*'Project Assumptions'!$I$48*(SUM('Book Income Statement'!G6:G8)/12)</f>
        <v>0</v>
      </c>
      <c r="G27" s="591">
        <f>G26*'Project Assumptions'!$I$48*(SUM('Book Income Statement'!H6:H8)/12)</f>
        <v>0</v>
      </c>
      <c r="H27" s="591">
        <f>H26*'Project Assumptions'!$I$48*(SUM('Book Income Statement'!I6:I8)/12)</f>
        <v>0</v>
      </c>
      <c r="I27" s="591">
        <f>I26*'Project Assumptions'!$I$48*(SUM('Book Income Statement'!J6:J8)/12)</f>
        <v>0</v>
      </c>
      <c r="J27" s="591">
        <f>J26*'Project Assumptions'!$I$48*(SUM('Book Income Statement'!K6:K8)/12)</f>
        <v>0</v>
      </c>
      <c r="K27" s="591">
        <f>K26*'Project Assumptions'!$I$48*(SUM('Book Income Statement'!L6:L8)/12)</f>
        <v>0</v>
      </c>
      <c r="L27" s="591">
        <f>L26*'Project Assumptions'!$I$48*(SUM('Book Income Statement'!M6:M8)/12)</f>
        <v>0</v>
      </c>
      <c r="M27" s="591">
        <f>M26*'Project Assumptions'!$I$48*(SUM('Book Income Statement'!N6:N8)/12)</f>
        <v>0</v>
      </c>
      <c r="N27" s="591">
        <f>N26*'Project Assumptions'!$I$48*(SUM('Book Income Statement'!O6:O8)/12)</f>
        <v>0</v>
      </c>
      <c r="O27" s="591">
        <f>O26*'Project Assumptions'!$I$48*(SUM('Book Income Statement'!P6:P8)/12)</f>
        <v>0</v>
      </c>
      <c r="P27" s="591">
        <f>P26*'Project Assumptions'!$I$48*(SUM('Book Income Statement'!Q6:Q8)/12)</f>
        <v>0</v>
      </c>
      <c r="Q27" s="591">
        <f>Q26*'Project Assumptions'!$I$48*(SUM('Book Income Statement'!R6:R8)/12)</f>
        <v>0</v>
      </c>
      <c r="R27" s="591">
        <f>R26*'Project Assumptions'!$I$48*(SUM('Book Income Statement'!S6:S8)/12)</f>
        <v>0</v>
      </c>
      <c r="S27" s="591">
        <f>S26*'Project Assumptions'!$I$48*(SUM('Book Income Statement'!T6:T8)/12)</f>
        <v>0</v>
      </c>
      <c r="T27" s="591">
        <f>T26*'Project Assumptions'!$I$48*(SUM('Book Income Statement'!U6:U8)/12)</f>
        <v>0</v>
      </c>
      <c r="U27" s="591">
        <f>U26*'Project Assumptions'!$I$48*(SUM('Book Income Statement'!V6:V8)/12)</f>
        <v>0</v>
      </c>
      <c r="V27" s="591">
        <f>V26*'Project Assumptions'!$I$48*(SUM('Book Income Statement'!W6:W8)/12)</f>
        <v>0</v>
      </c>
      <c r="W27" s="591">
        <f>W26*'Project Assumptions'!$I$48*(SUM('Book Income Statement'!X6:X8)/12)</f>
        <v>0</v>
      </c>
      <c r="X27" s="591">
        <f>X26*'Project Assumptions'!$I$48*(SUM('Book Income Statement'!Y6:Y8)/12)</f>
        <v>0</v>
      </c>
      <c r="Y27" s="591">
        <f>Y26*'Project Assumptions'!$I$48*(SUM('Book Income Statement'!Z6:Z8)/12)</f>
        <v>0</v>
      </c>
      <c r="Z27" s="591">
        <f>Z26*'Project Assumptions'!$I$48*(SUM('Book Income Statement'!AA6:AA8)/12)</f>
        <v>0</v>
      </c>
      <c r="AA27" s="626">
        <f>AA26*'Project Assumptions'!$I$48*(SUM('Book Income Statement'!AB6:AB8)/12)</f>
        <v>0</v>
      </c>
      <c r="AB27" s="272"/>
      <c r="AC27" s="272"/>
      <c r="AD27" s="272"/>
      <c r="AE27" s="272"/>
      <c r="AF27" s="272"/>
    </row>
    <row r="28" spans="1:32" s="42" customFormat="1" ht="12.6" customHeight="1">
      <c r="A28" s="511"/>
      <c r="B28" s="253"/>
      <c r="C28" s="818"/>
      <c r="D28" s="818"/>
      <c r="E28" s="818"/>
      <c r="F28" s="818"/>
      <c r="G28" s="818"/>
      <c r="H28" s="818"/>
      <c r="I28" s="818"/>
      <c r="J28" s="818"/>
      <c r="K28" s="818"/>
      <c r="L28" s="818"/>
      <c r="M28" s="818"/>
      <c r="N28" s="818"/>
      <c r="O28" s="818"/>
      <c r="P28" s="818"/>
      <c r="Q28" s="818"/>
      <c r="R28" s="818"/>
      <c r="S28" s="818"/>
      <c r="T28" s="818"/>
      <c r="U28" s="818"/>
      <c r="V28" s="818"/>
      <c r="W28" s="818"/>
      <c r="X28" s="818"/>
      <c r="Y28" s="818"/>
      <c r="Z28" s="818"/>
      <c r="AA28" s="819"/>
      <c r="AB28" s="205"/>
      <c r="AC28" s="205"/>
      <c r="AD28" s="205"/>
      <c r="AE28" s="205"/>
      <c r="AF28" s="205"/>
    </row>
    <row r="29" spans="1:32" s="42" customFormat="1" ht="12.6" customHeight="1">
      <c r="A29" s="523" t="s">
        <v>109</v>
      </c>
      <c r="B29" s="591">
        <f>IF('Project Assumptions'!$I$34="Normal",'Debt Amortization'!B19,'Debt Amortization'!C69)</f>
        <v>20924.354159999999</v>
      </c>
      <c r="C29" s="818"/>
      <c r="D29" s="818"/>
      <c r="E29" s="818"/>
      <c r="F29" s="818"/>
      <c r="G29" s="818"/>
      <c r="H29" s="818"/>
      <c r="I29" s="818"/>
      <c r="J29" s="818"/>
      <c r="K29" s="818"/>
      <c r="L29" s="818"/>
      <c r="M29" s="818"/>
      <c r="N29" s="818"/>
      <c r="O29" s="818"/>
      <c r="P29" s="818"/>
      <c r="Q29" s="818"/>
      <c r="R29" s="818"/>
      <c r="S29" s="818"/>
      <c r="T29" s="818"/>
      <c r="U29" s="818"/>
      <c r="V29" s="818"/>
      <c r="W29" s="818"/>
      <c r="X29" s="818"/>
      <c r="Y29" s="818"/>
      <c r="Z29" s="818"/>
      <c r="AA29" s="819"/>
      <c r="AB29" s="205"/>
      <c r="AC29" s="205"/>
      <c r="AD29" s="205"/>
      <c r="AE29" s="205"/>
      <c r="AF29" s="205"/>
    </row>
    <row r="30" spans="1:32" s="42" customFormat="1" ht="12.6" customHeight="1">
      <c r="A30" s="511" t="s">
        <v>111</v>
      </c>
      <c r="B30" s="253"/>
      <c r="C30" s="591">
        <f>IF('Project Assumptions'!$I$34="Normal",'Debt Amortization'!E29,'Debt Amortization'!E72)</f>
        <v>6638.2513572599992</v>
      </c>
      <c r="D30" s="591">
        <f>IF('Project Assumptions'!$I$34="Normal",'Debt Amortization'!F29,'Debt Amortization'!F72)</f>
        <v>6286.4606529449993</v>
      </c>
      <c r="E30" s="591">
        <f>IF('Project Assumptions'!$I$34="Normal",'Debt Amortization'!G29,'Debt Amortization'!G72)</f>
        <v>5934.6699486299995</v>
      </c>
      <c r="F30" s="591">
        <f>IF('Project Assumptions'!$I$34="Normal",'Debt Amortization'!H29,'Debt Amortization'!H72)</f>
        <v>5582.8792443149996</v>
      </c>
      <c r="G30" s="591">
        <f>IF('Project Assumptions'!$I$34="Normal",'Debt Amortization'!I29,'Debt Amortization'!I72)</f>
        <v>0</v>
      </c>
      <c r="H30" s="591">
        <f>IF('Project Assumptions'!$I$34="Normal",'Debt Amortization'!J29,'Debt Amortization'!J72)</f>
        <v>0</v>
      </c>
      <c r="I30" s="591">
        <f>IF('Project Assumptions'!$I$34="Normal",'Debt Amortization'!K29,'Debt Amortization'!K72)</f>
        <v>0</v>
      </c>
      <c r="J30" s="591">
        <f>IF('Project Assumptions'!$I$34="Normal",'Debt Amortization'!L29,'Debt Amortization'!L72)</f>
        <v>0</v>
      </c>
      <c r="K30" s="591">
        <f>IF('Project Assumptions'!$I$34="Normal",'Debt Amortization'!M29,'Debt Amortization'!M72)</f>
        <v>0</v>
      </c>
      <c r="L30" s="591">
        <f>IF('Project Assumptions'!$I$34="Normal",'Debt Amortization'!N29,'Debt Amortization'!N72)</f>
        <v>0</v>
      </c>
      <c r="M30" s="591">
        <f>IF('Project Assumptions'!$I$34="Normal",'Debt Amortization'!O29,'Debt Amortization'!O72)</f>
        <v>0</v>
      </c>
      <c r="N30" s="591">
        <f>IF('Project Assumptions'!$I$34="Normal",'Debt Amortization'!P29,'Debt Amortization'!P72)</f>
        <v>0</v>
      </c>
      <c r="O30" s="591">
        <f>IF('Project Assumptions'!$I$34="Normal",'Debt Amortization'!Q29,'Debt Amortization'!Q72)</f>
        <v>0</v>
      </c>
      <c r="P30" s="591">
        <f>IF('Project Assumptions'!$I$34="Normal",'Debt Amortization'!R29,'Debt Amortization'!R72)</f>
        <v>0</v>
      </c>
      <c r="Q30" s="591">
        <f>IF('Project Assumptions'!$I$34="Normal",'Debt Amortization'!S29,'Debt Amortization'!S72)</f>
        <v>0</v>
      </c>
      <c r="R30" s="591">
        <f>IF('Project Assumptions'!$I$34="Normal",'Debt Amortization'!T29,'Debt Amortization'!T72)</f>
        <v>0</v>
      </c>
      <c r="S30" s="591">
        <f>IF('Project Assumptions'!$I$34="Normal",'Debt Amortization'!U29,'Debt Amortization'!U72)</f>
        <v>0</v>
      </c>
      <c r="T30" s="591">
        <f>IF('Project Assumptions'!$I$34="Normal",'Debt Amortization'!V29,'Debt Amortization'!V72)</f>
        <v>0</v>
      </c>
      <c r="U30" s="591">
        <f>IF('Project Assumptions'!$I$34="Normal",'Debt Amortization'!W29,'Debt Amortization'!W72)</f>
        <v>0</v>
      </c>
      <c r="V30" s="591">
        <f>IF('Project Assumptions'!$I$34="Normal",'Debt Amortization'!X29,'Debt Amortization'!X72)</f>
        <v>0</v>
      </c>
      <c r="W30" s="591">
        <f>IF('Project Assumptions'!$I$34="Normal",'Debt Amortization'!Y29,'Debt Amortization'!Y72)</f>
        <v>0</v>
      </c>
      <c r="X30" s="591">
        <f>IF('Project Assumptions'!$I$34="Normal",'Debt Amortization'!Z29,'Debt Amortization'!Z72)</f>
        <v>0</v>
      </c>
      <c r="Y30" s="591">
        <f>IF('Project Assumptions'!$I$34="Normal",'Debt Amortization'!AA29,'Debt Amortization'!AA72)</f>
        <v>0</v>
      </c>
      <c r="Z30" s="591">
        <f>IF('Project Assumptions'!$I$34="Normal",'Debt Amortization'!AB29,'Debt Amortization'!AB72)</f>
        <v>0</v>
      </c>
      <c r="AA30" s="626">
        <f>IF('Project Assumptions'!$I$34="Normal",'Debt Amortization'!AC29,'Debt Amortization'!AC72)</f>
        <v>0</v>
      </c>
      <c r="AB30" s="205"/>
      <c r="AC30" s="205"/>
      <c r="AD30" s="205"/>
      <c r="AE30" s="205"/>
      <c r="AF30" s="205"/>
    </row>
    <row r="31" spans="1:32" s="42" customFormat="1" ht="12.6" customHeight="1">
      <c r="A31" s="511" t="s">
        <v>268</v>
      </c>
      <c r="B31" s="253"/>
      <c r="C31" s="820">
        <f>IF(C30&lt;1, "N/A",'Book Income Statement'!D63/C30)</f>
        <v>1.9208871501693974</v>
      </c>
      <c r="D31" s="820">
        <f>IF(D30&lt;1, "N/A", +'Book Income Statement'!E63/D30)</f>
        <v>3.503070982579783</v>
      </c>
      <c r="E31" s="820">
        <f>IF(E30&lt;1, "N/A", +'Book Income Statement'!F63/E30)</f>
        <v>3.6995391174395102</v>
      </c>
      <c r="F31" s="820">
        <f>IF(F30&lt;1, "N/A", +'Book Income Statement'!G63/F30)</f>
        <v>4.8113328590162361</v>
      </c>
      <c r="G31" s="820" t="str">
        <f>IF(G30&lt;1, "N/A", +'Book Income Statement'!H63/G30)</f>
        <v>N/A</v>
      </c>
      <c r="H31" s="820" t="str">
        <f>IF(H30&lt;1, "N/A", +'Book Income Statement'!I63/H30)</f>
        <v>N/A</v>
      </c>
      <c r="I31" s="820" t="str">
        <f>IF(I30&lt;1, "N/A", +'Book Income Statement'!J63/I30)</f>
        <v>N/A</v>
      </c>
      <c r="J31" s="820" t="str">
        <f>IF(J30&lt;1, "N/A", +'Book Income Statement'!K63/J30)</f>
        <v>N/A</v>
      </c>
      <c r="K31" s="820" t="str">
        <f>IF(K30&lt;1, "N/A", +'Book Income Statement'!L63/K30)</f>
        <v>N/A</v>
      </c>
      <c r="L31" s="820" t="str">
        <f>IF(L30&lt;1, "N/A", +'Book Income Statement'!M63/L30)</f>
        <v>N/A</v>
      </c>
      <c r="M31" s="820" t="str">
        <f>IF(M30&lt;1, "N/A", +'Book Income Statement'!N63/M30)</f>
        <v>N/A</v>
      </c>
      <c r="N31" s="820" t="str">
        <f>IF(N30&lt;1, "N/A", +'Book Income Statement'!O63/N30)</f>
        <v>N/A</v>
      </c>
      <c r="O31" s="820" t="str">
        <f>IF(O30&lt;1, "N/A", +'Book Income Statement'!P63/O30)</f>
        <v>N/A</v>
      </c>
      <c r="P31" s="820" t="str">
        <f>IF(P30&lt;1, "N/A", +'Book Income Statement'!Q63/P30)</f>
        <v>N/A</v>
      </c>
      <c r="Q31" s="820" t="str">
        <f>IF(Q30&lt;1, "N/A", +'Book Income Statement'!R63/Q30)</f>
        <v>N/A</v>
      </c>
      <c r="R31" s="820" t="str">
        <f>IF(R30&lt;1, "N/A", +'Book Income Statement'!S63/R30)</f>
        <v>N/A</v>
      </c>
      <c r="S31" s="820" t="str">
        <f>IF(S30&lt;1, "N/A", +'Book Income Statement'!T63/S30)</f>
        <v>N/A</v>
      </c>
      <c r="T31" s="820" t="str">
        <f>IF(T30&lt;1, "N/A", +'Book Income Statement'!U63/T30)</f>
        <v>N/A</v>
      </c>
      <c r="U31" s="820" t="str">
        <f>IF(U30&lt;1, "N/A", +'Book Income Statement'!V63/U30)</f>
        <v>N/A</v>
      </c>
      <c r="V31" s="820" t="str">
        <f>IF(V30&lt;1, "N/A", +'Book Income Statement'!W63/V30)</f>
        <v>N/A</v>
      </c>
      <c r="W31" s="820" t="str">
        <f>IF(W30&lt;1, "N/A", +'Book Income Statement'!X63/W30)</f>
        <v>N/A</v>
      </c>
      <c r="X31" s="820" t="str">
        <f>IF(X30&lt;1, "N/A", +'Book Income Statement'!Y63/X30)</f>
        <v>N/A</v>
      </c>
      <c r="Y31" s="820" t="str">
        <f>IF(Y30&lt;1, "N/A", +'Book Income Statement'!Z63/Y30)</f>
        <v>N/A</v>
      </c>
      <c r="Z31" s="820" t="str">
        <f>IF(Z30&lt;1, "N/A", +'Book Income Statement'!AA63/Z30)</f>
        <v>N/A</v>
      </c>
      <c r="AA31" s="821" t="str">
        <f>IF(AA30&lt;1, "N/A", +'Book Income Statement'!AB63/AA30)</f>
        <v>N/A</v>
      </c>
      <c r="AB31" s="205"/>
      <c r="AC31" s="205"/>
      <c r="AD31" s="205"/>
      <c r="AE31" s="205"/>
      <c r="AF31" s="205"/>
    </row>
    <row r="32" spans="1:32" s="42" customFormat="1" ht="12.6" customHeight="1">
      <c r="A32" s="511" t="s">
        <v>110</v>
      </c>
      <c r="B32" s="253"/>
      <c r="C32" s="465">
        <f>($B$29-IF('Project Assumptions'!$I$34="Normal",SUM('Debt Amortization'!$E$28:E28),SUM('Debt Amortization'!$E$71:E71)))/$B$29</f>
        <v>0.75</v>
      </c>
      <c r="D32" s="465">
        <f>($B$29-IF('Project Assumptions'!$I$34="Normal",SUM('Debt Amortization'!$E$28:F28),SUM('Debt Amortization'!$E$71:F71)))/$B$29</f>
        <v>0.5</v>
      </c>
      <c r="E32" s="465">
        <f>($B$29-IF('Project Assumptions'!$I$34="Normal",SUM('Debt Amortization'!$E$28:G28),SUM('Debt Amortization'!$E$71:G71)))/$B$29</f>
        <v>0.25000000000000006</v>
      </c>
      <c r="F32" s="465">
        <f>($B$29-IF('Project Assumptions'!$I$34="Normal",SUM('Debt Amortization'!$E$28:H28),SUM('Debt Amortization'!$E$71:H71)))/$B$29</f>
        <v>0</v>
      </c>
      <c r="G32" s="465">
        <f>($B$29-IF('Project Assumptions'!$I$34="Normal",SUM('Debt Amortization'!$E$28:I28),SUM('Debt Amortization'!$E$71:I71)))/$B$29</f>
        <v>0</v>
      </c>
      <c r="H32" s="465">
        <f>($B$29-IF('Project Assumptions'!$I$34="Normal",SUM('Debt Amortization'!$E$28:J28),SUM('Debt Amortization'!$E$71:J71)))/$B$29</f>
        <v>0</v>
      </c>
      <c r="I32" s="465">
        <f>($B$29-IF('Project Assumptions'!$I$34="Normal",SUM('Debt Amortization'!$E$28:K28),SUM('Debt Amortization'!$E$71:K71)))/$B$29</f>
        <v>0</v>
      </c>
      <c r="J32" s="465">
        <f>($B$29-IF('Project Assumptions'!$I$34="Normal",SUM('Debt Amortization'!$E$28:L28),SUM('Debt Amortization'!$E$71:L71)))/$B$29</f>
        <v>0</v>
      </c>
      <c r="K32" s="465">
        <f>($B$29-IF('Project Assumptions'!$I$34="Normal",SUM('Debt Amortization'!$E$28:M28),SUM('Debt Amortization'!$E$71:M71)))/$B$29</f>
        <v>0</v>
      </c>
      <c r="L32" s="465">
        <f>($B$29-IF('Project Assumptions'!$I$34="Normal",SUM('Debt Amortization'!$E$28:N28),SUM('Debt Amortization'!$E$71:N71)))/$B$29</f>
        <v>0</v>
      </c>
      <c r="M32" s="465">
        <f>($B$29-IF('Project Assumptions'!$I$34="Normal",SUM('Debt Amortization'!$E$28:O28),SUM('Debt Amortization'!$E$71:O71)))/$B$29</f>
        <v>0</v>
      </c>
      <c r="N32" s="465">
        <f>($B$29-IF('Project Assumptions'!$I$34="Normal",SUM('Debt Amortization'!$E$28:P28),SUM('Debt Amortization'!$E$71:P71)))/$B$29</f>
        <v>0</v>
      </c>
      <c r="O32" s="465">
        <f>($B$29-IF('Project Assumptions'!$I$34="Normal",SUM('Debt Amortization'!$E$28:Q28),SUM('Debt Amortization'!$E$71:Q71)))/$B$29</f>
        <v>0</v>
      </c>
      <c r="P32" s="465">
        <f>($B$29-IF('Project Assumptions'!$I$34="Normal",SUM('Debt Amortization'!$E$28:R28),SUM('Debt Amortization'!$E$71:R71)))/$B$29</f>
        <v>0</v>
      </c>
      <c r="Q32" s="465">
        <f>($B$29-IF('Project Assumptions'!$I$34="Normal",SUM('Debt Amortization'!$E$28:S28),SUM('Debt Amortization'!$E$71:S71)))/$B$29</f>
        <v>0</v>
      </c>
      <c r="R32" s="465">
        <f>($B$29-IF('Project Assumptions'!$I$34="Normal",SUM('Debt Amortization'!$E$28:T28),SUM('Debt Amortization'!$E$71:T71)))/$B$29</f>
        <v>0</v>
      </c>
      <c r="S32" s="465">
        <f>($B$29-IF('Project Assumptions'!$I$34="Normal",SUM('Debt Amortization'!$E$28:U28),SUM('Debt Amortization'!$E$71:U71)))/$B$29</f>
        <v>0</v>
      </c>
      <c r="T32" s="465">
        <f>($B$29-IF('Project Assumptions'!$I$34="Normal",SUM('Debt Amortization'!$E$28:V28),SUM('Debt Amortization'!$E$71:V71)))/$B$29</f>
        <v>0</v>
      </c>
      <c r="U32" s="465">
        <f>($B$29-IF('Project Assumptions'!$I$34="Normal",SUM('Debt Amortization'!$E$28:W28),SUM('Debt Amortization'!$E$71:W71)))/$B$29</f>
        <v>0</v>
      </c>
      <c r="V32" s="465">
        <f>($B$29-IF('Project Assumptions'!$I$34="Normal",SUM('Debt Amortization'!$E$28:X28),SUM('Debt Amortization'!$E$71:X71)))/$B$29</f>
        <v>0</v>
      </c>
      <c r="W32" s="465">
        <f>($B$29-IF('Project Assumptions'!$I$34="Normal",SUM('Debt Amortization'!$E$28:Y28),SUM('Debt Amortization'!$E$71:Y71)))/$B$29</f>
        <v>0</v>
      </c>
      <c r="X32" s="465">
        <f>($B$29-IF('Project Assumptions'!$I$34="Normal",SUM('Debt Amortization'!$E$28:Z28),SUM('Debt Amortization'!$E$71:Z71)))/$B$29</f>
        <v>0</v>
      </c>
      <c r="Y32" s="465">
        <f>($B$29-IF('Project Assumptions'!$I$34="Normal",SUM('Debt Amortization'!$E$28:AA28),SUM('Debt Amortization'!$E$71:AA71)))/$B$29</f>
        <v>0</v>
      </c>
      <c r="Z32" s="465">
        <f>($B$29-IF('Project Assumptions'!$I$34="Normal",SUM('Debt Amortization'!$E$28:AB28),SUM('Debt Amortization'!$E$71:AB71)))/$B$29</f>
        <v>0</v>
      </c>
      <c r="AA32" s="822">
        <f>($B$29-IF('Project Assumptions'!$I$34="Normal",SUM('Debt Amortization'!$E$28:AC28),SUM('Debt Amortization'!$E$71:AC71)))/$B$29</f>
        <v>0</v>
      </c>
      <c r="AB32" s="205"/>
      <c r="AC32" s="205"/>
      <c r="AD32" s="205"/>
      <c r="AE32" s="205"/>
      <c r="AF32" s="205"/>
    </row>
    <row r="33" spans="1:32" s="42" customFormat="1" ht="12.6" customHeight="1">
      <c r="A33" s="511"/>
      <c r="B33" s="253"/>
      <c r="C33" s="465"/>
      <c r="D33" s="465"/>
      <c r="E33" s="465"/>
      <c r="F33" s="465"/>
      <c r="G33" s="465"/>
      <c r="H33" s="465"/>
      <c r="I33" s="465"/>
      <c r="J33" s="465"/>
      <c r="K33" s="465"/>
      <c r="L33" s="465"/>
      <c r="M33" s="465"/>
      <c r="N33" s="465"/>
      <c r="O33" s="465"/>
      <c r="P33" s="465"/>
      <c r="Q33" s="465"/>
      <c r="R33" s="465"/>
      <c r="S33" s="465"/>
      <c r="T33" s="465"/>
      <c r="U33" s="465"/>
      <c r="V33" s="465"/>
      <c r="W33" s="465"/>
      <c r="X33" s="465"/>
      <c r="Y33" s="465"/>
      <c r="Z33" s="465"/>
      <c r="AA33" s="822"/>
      <c r="AB33" s="205"/>
      <c r="AC33" s="205"/>
      <c r="AD33" s="205"/>
      <c r="AE33" s="205"/>
      <c r="AF33" s="205"/>
    </row>
    <row r="34" spans="1:32" s="42" customFormat="1" ht="12.6" customHeight="1">
      <c r="A34" s="523" t="s">
        <v>112</v>
      </c>
      <c r="B34" s="591">
        <f>IF('Project Assumptions'!$I$34="Normal",'Debt Amortization'!B20,'Debt Amortization'!C84)</f>
        <v>39233.164049999992</v>
      </c>
      <c r="C34" s="818"/>
      <c r="D34" s="818"/>
      <c r="E34" s="818"/>
      <c r="F34" s="818"/>
      <c r="G34" s="818"/>
      <c r="H34" s="818"/>
      <c r="I34" s="818"/>
      <c r="J34" s="818"/>
      <c r="K34" s="818"/>
      <c r="L34" s="818"/>
      <c r="M34" s="818"/>
      <c r="N34" s="818"/>
      <c r="O34" s="818"/>
      <c r="P34" s="818"/>
      <c r="Q34" s="818"/>
      <c r="R34" s="818"/>
      <c r="S34" s="818"/>
      <c r="T34" s="818"/>
      <c r="U34" s="818"/>
      <c r="V34" s="818"/>
      <c r="W34" s="818"/>
      <c r="X34" s="818"/>
      <c r="Y34" s="818"/>
      <c r="Z34" s="818"/>
      <c r="AA34" s="819"/>
      <c r="AB34" s="205"/>
      <c r="AC34" s="205"/>
      <c r="AD34" s="205"/>
      <c r="AE34" s="205"/>
      <c r="AF34" s="205"/>
    </row>
    <row r="35" spans="1:32" s="42" customFormat="1" ht="12.6" customHeight="1">
      <c r="A35" s="511" t="s">
        <v>111</v>
      </c>
      <c r="B35" s="253"/>
      <c r="C35" s="591">
        <f>IF('Project Assumptions'!$I$34="Normal",'Debt Amortization'!E37,'Debt Amortization'!E86)</f>
        <v>0</v>
      </c>
      <c r="D35" s="591">
        <f>IF('Project Assumptions'!$I$34="Normal",'Debt Amortization'!F37,'Debt Amortization'!F86)</f>
        <v>0</v>
      </c>
      <c r="E35" s="591">
        <f>IF('Project Assumptions'!$I$34="Normal",'Debt Amortization'!G37,'Debt Amortization'!G86)</f>
        <v>1961.6582024999998</v>
      </c>
      <c r="F35" s="591">
        <f>IF('Project Assumptions'!$I$34="Normal",'Debt Amortization'!H37,'Debt Amortization'!H86)</f>
        <v>3923.3164049999996</v>
      </c>
      <c r="G35" s="591">
        <f>IF('Project Assumptions'!$I$34="Normal",'Debt Amortization'!I37,'Debt Amortization'!I86)</f>
        <v>3923.3164049999996</v>
      </c>
      <c r="H35" s="591">
        <f>IF('Project Assumptions'!$I$34="Normal",'Debt Amortization'!J37,'Debt Amortization'!J86)</f>
        <v>3923.3164049999996</v>
      </c>
      <c r="I35" s="591">
        <f>IF('Project Assumptions'!$I$34="Normal",'Debt Amortization'!K37,'Debt Amortization'!K86)</f>
        <v>3923.3164049999996</v>
      </c>
      <c r="J35" s="591">
        <f>IF('Project Assumptions'!$I$34="Normal",'Debt Amortization'!L37,'Debt Amortization'!L86)</f>
        <v>3923.3164049999996</v>
      </c>
      <c r="K35" s="591">
        <f>IF('Project Assumptions'!$I$34="Normal",'Debt Amortization'!M37,'Debt Amortization'!M86)</f>
        <v>7846.6328099999992</v>
      </c>
      <c r="L35" s="591">
        <f>IF('Project Assumptions'!$I$34="Normal",'Debt Amortization'!N37,'Debt Amortization'!N86)</f>
        <v>9808.291012499998</v>
      </c>
      <c r="M35" s="591">
        <f>IF('Project Assumptions'!$I$34="Normal",'Debt Amortization'!O37,'Debt Amortization'!O86)</f>
        <v>0</v>
      </c>
      <c r="N35" s="591">
        <f>IF('Project Assumptions'!$I$34="Normal",'Debt Amortization'!P37,'Debt Amortization'!P86)</f>
        <v>0</v>
      </c>
      <c r="O35" s="591">
        <f>IF('Project Assumptions'!$I$34="Normal",'Debt Amortization'!Q37,'Debt Amortization'!Q86)</f>
        <v>0</v>
      </c>
      <c r="P35" s="591">
        <f>IF('Project Assumptions'!$I$34="Normal",'Debt Amortization'!R37,'Debt Amortization'!R86)</f>
        <v>0</v>
      </c>
      <c r="Q35" s="591">
        <f>IF('Project Assumptions'!$I$34="Normal",'Debt Amortization'!S37,'Debt Amortization'!S86)</f>
        <v>0</v>
      </c>
      <c r="R35" s="591">
        <f>IF('Project Assumptions'!$I$34="Normal",'Debt Amortization'!T37,'Debt Amortization'!T86)</f>
        <v>0</v>
      </c>
      <c r="S35" s="591">
        <f>IF('Project Assumptions'!$I$34="Normal",'Debt Amortization'!U37,'Debt Amortization'!U86)</f>
        <v>0</v>
      </c>
      <c r="T35" s="591">
        <f>IF('Project Assumptions'!$I$34="Normal",'Debt Amortization'!V37,'Debt Amortization'!V86)</f>
        <v>0</v>
      </c>
      <c r="U35" s="591">
        <f>IF('Project Assumptions'!$I$34="Normal",'Debt Amortization'!W37,'Debt Amortization'!W86)</f>
        <v>0</v>
      </c>
      <c r="V35" s="591">
        <f>IF('Project Assumptions'!$I$34="Normal",'Debt Amortization'!X37,'Debt Amortization'!X86)</f>
        <v>0</v>
      </c>
      <c r="W35" s="591">
        <f>IF('Project Assumptions'!$I$34="Normal",'Debt Amortization'!Y37,'Debt Amortization'!Y86)</f>
        <v>0</v>
      </c>
      <c r="X35" s="591">
        <f>IF('Project Assumptions'!$I$34="Normal",'Debt Amortization'!Z37,'Debt Amortization'!Z86)</f>
        <v>0</v>
      </c>
      <c r="Y35" s="591">
        <f>IF('Project Assumptions'!$I$34="Normal",'Debt Amortization'!AA37,'Debt Amortization'!AA86)</f>
        <v>0</v>
      </c>
      <c r="Z35" s="591">
        <f>IF('Project Assumptions'!$I$34="Normal",'Debt Amortization'!AB37,'Debt Amortization'!AB86)</f>
        <v>0</v>
      </c>
      <c r="AA35" s="626">
        <f>IF('Project Assumptions'!$I$34="Normal",'Debt Amortization'!AC37,'Debt Amortization'!AC86)</f>
        <v>0</v>
      </c>
      <c r="AB35" s="205"/>
      <c r="AC35" s="205"/>
      <c r="AD35" s="205"/>
      <c r="AE35" s="205"/>
      <c r="AF35" s="205"/>
    </row>
    <row r="36" spans="1:32" s="42" customFormat="1" ht="12.6" customHeight="1">
      <c r="A36" s="511" t="s">
        <v>268</v>
      </c>
      <c r="B36" s="253"/>
      <c r="C36" s="820" t="str">
        <f>IF(C35&lt;1, "N/A",'Book Income Statement'!D63/C35)</f>
        <v>N/A</v>
      </c>
      <c r="D36" s="820" t="str">
        <f>IF(D35&lt;1, "N/A",'Book Income Statement'!E63/D35)</f>
        <v>N/A</v>
      </c>
      <c r="E36" s="820">
        <f>IF(E35&lt;1, "N/A",'Book Income Statement'!F63/E35)</f>
        <v>11.192339009960332</v>
      </c>
      <c r="F36" s="820">
        <f>IF(F35&lt;1, "N/A",'Book Income Statement'!G63/F35)</f>
        <v>6.846526658380105</v>
      </c>
      <c r="G36" s="820">
        <f>IF(G35&lt;1, "N/A",'Book Income Statement'!H63/G35)</f>
        <v>7.8313414378787849</v>
      </c>
      <c r="H36" s="820">
        <f>IF(H35&lt;1, "N/A",'Book Income Statement'!I63/H35)</f>
        <v>7.9069036920932669</v>
      </c>
      <c r="I36" s="820">
        <f>IF(I35&lt;1, "N/A",'Book Income Statement'!J63/I35)</f>
        <v>7.9798980208947414</v>
      </c>
      <c r="J36" s="820">
        <f>IF(J35&lt;1, "N/A",'Book Income Statement'!K63/J35)</f>
        <v>8.2210767405811289</v>
      </c>
      <c r="K36" s="820">
        <f>IF(K35&lt;1, "N/A",'Book Income Statement'!L63/K35)</f>
        <v>4.1466935960355356</v>
      </c>
      <c r="L36" s="820">
        <f>IF(L35&lt;1, "N/A",'Book Income Statement'!M63/L35)</f>
        <v>3.4175882347570985</v>
      </c>
      <c r="M36" s="820" t="str">
        <f>IF(M35&lt;1, "N/A",'Book Income Statement'!N63/M35)</f>
        <v>N/A</v>
      </c>
      <c r="N36" s="820" t="str">
        <f>IF(N35&lt;1, "N/A",'Book Income Statement'!O63/N35)</f>
        <v>N/A</v>
      </c>
      <c r="O36" s="820" t="str">
        <f>IF(O35&lt;1, "N/A",'Book Income Statement'!P63/O35)</f>
        <v>N/A</v>
      </c>
      <c r="P36" s="820" t="str">
        <f>IF(P35&lt;1, "N/A",'Book Income Statement'!Q63/P35)</f>
        <v>N/A</v>
      </c>
      <c r="Q36" s="820" t="str">
        <f>IF(Q35&lt;1, "N/A",'Book Income Statement'!R63/Q35)</f>
        <v>N/A</v>
      </c>
      <c r="R36" s="820" t="str">
        <f>IF(R35&lt;1, "N/A",'Book Income Statement'!S63/R35)</f>
        <v>N/A</v>
      </c>
      <c r="S36" s="820" t="str">
        <f>IF(S35&lt;1, "N/A",'Book Income Statement'!T63/S35)</f>
        <v>N/A</v>
      </c>
      <c r="T36" s="820" t="str">
        <f>IF(T35&lt;1, "N/A",'Book Income Statement'!U63/T35)</f>
        <v>N/A</v>
      </c>
      <c r="U36" s="820" t="str">
        <f>IF(U35&lt;1, "N/A",'Book Income Statement'!V63/U35)</f>
        <v>N/A</v>
      </c>
      <c r="V36" s="820" t="str">
        <f>IF(V35&lt;1, "N/A",'Book Income Statement'!W63/V35)</f>
        <v>N/A</v>
      </c>
      <c r="W36" s="820" t="str">
        <f>IF(W35&lt;1, "N/A",'Book Income Statement'!X63/W35)</f>
        <v>N/A</v>
      </c>
      <c r="X36" s="820" t="str">
        <f>IF(X35&lt;1, "N/A",'Book Income Statement'!Y63/X35)</f>
        <v>N/A</v>
      </c>
      <c r="Y36" s="820" t="str">
        <f>IF(Y35&lt;1, "N/A",'Book Income Statement'!Z63/Y35)</f>
        <v>N/A</v>
      </c>
      <c r="Z36" s="820" t="str">
        <f>IF(Z35&lt;1, "N/A",'Book Income Statement'!AA63/Z35)</f>
        <v>N/A</v>
      </c>
      <c r="AA36" s="821" t="str">
        <f>IF(AA35&lt;1, "N/A",'Book Income Statement'!AB63/AA35)</f>
        <v>N/A</v>
      </c>
      <c r="AB36" s="205"/>
      <c r="AC36" s="205"/>
      <c r="AD36" s="205"/>
      <c r="AE36" s="205"/>
      <c r="AF36" s="205"/>
    </row>
    <row r="37" spans="1:32" s="42" customFormat="1" ht="12.6" customHeight="1">
      <c r="A37" s="511" t="s">
        <v>110</v>
      </c>
      <c r="B37" s="253"/>
      <c r="C37" s="465">
        <f>IF($B$34&gt;0,(($B$34-IF('Project Assumptions'!$I$34="Normal",SUM('Debt Amortization'!$E$36:E36),SUM('Debt Amortization'!$E$86:E86)))/$B$34),0)</f>
        <v>1</v>
      </c>
      <c r="D37" s="465">
        <f>IF($B$34&gt;0,(($B$34-IF('Project Assumptions'!$I$34="Normal",SUM('Debt Amortization'!$E$36:F36),SUM('Debt Amortization'!$E$86:F86)))/$B$34),0)</f>
        <v>1</v>
      </c>
      <c r="E37" s="465">
        <f>IF($B$34&gt;0,(($B$34-IF('Project Assumptions'!$I$34="Normal",SUM('Debt Amortization'!$E$36:G36),SUM('Debt Amortization'!$E$86:G86)))/$B$34),0)</f>
        <v>0.95</v>
      </c>
      <c r="F37" s="465">
        <f>IF($B$34&gt;0,(($B$34-IF('Project Assumptions'!$I$34="Normal",SUM('Debt Amortization'!$E$36:H36),SUM('Debt Amortization'!$E$86:H86)))/$B$34),0)</f>
        <v>0.85</v>
      </c>
      <c r="G37" s="465">
        <f>IF($B$34&gt;0,(($B$34-IF('Project Assumptions'!$I$34="Normal",SUM('Debt Amortization'!$E$36:I36),SUM('Debt Amortization'!$E$86:I86)))/$B$34),0)</f>
        <v>0.75</v>
      </c>
      <c r="H37" s="465">
        <f>IF($B$34&gt;0,(($B$34-IF('Project Assumptions'!$I$34="Normal",SUM('Debt Amortization'!$E$36:J36),SUM('Debt Amortization'!$E$86:J86)))/$B$34),0)</f>
        <v>0.65</v>
      </c>
      <c r="I37" s="465">
        <f>IF($B$34&gt;0,(($B$34-IF('Project Assumptions'!$I$34="Normal",SUM('Debt Amortization'!$E$36:K36),SUM('Debt Amortization'!$E$86:K86)))/$B$34),0)</f>
        <v>0.54999999999999993</v>
      </c>
      <c r="J37" s="465">
        <f>IF($B$34&gt;0,(($B$34-IF('Project Assumptions'!$I$34="Normal",SUM('Debt Amortization'!$E$36:L36),SUM('Debt Amortization'!$E$86:L86)))/$B$34),0)</f>
        <v>0.4499999999999999</v>
      </c>
      <c r="K37" s="465">
        <f>IF($B$34&gt;0,(($B$34-IF('Project Assumptions'!$I$34="Normal",SUM('Debt Amortization'!$E$36:M36),SUM('Debt Amortization'!$E$86:M86)))/$B$34),0)</f>
        <v>0.24999999999999992</v>
      </c>
      <c r="L37" s="465">
        <f>IF($B$34&gt;0,(($B$34-IF('Project Assumptions'!$I$34="Normal",SUM('Debt Amortization'!$E$36:N36),SUM('Debt Amortization'!$E$86:N86)))/$B$34),0)</f>
        <v>0</v>
      </c>
      <c r="M37" s="465">
        <f>IF($B$34&gt;0,(($B$34-IF('Project Assumptions'!$I$34="Normal",SUM('Debt Amortization'!$E$36:O36),SUM('Debt Amortization'!$E$86:O86)))/$B$34),0)</f>
        <v>0</v>
      </c>
      <c r="N37" s="465">
        <f>IF($B$34&gt;0,(($B$34-IF('Project Assumptions'!$I$34="Normal",SUM('Debt Amortization'!$E$36:P36),SUM('Debt Amortization'!$E$86:P86)))/$B$34),0)</f>
        <v>0</v>
      </c>
      <c r="O37" s="465">
        <f>IF($B$34&gt;0,(($B$34-IF('Project Assumptions'!$I$34="Normal",SUM('Debt Amortization'!$E$36:Q36),SUM('Debt Amortization'!$E$86:Q86)))/$B$34),0)</f>
        <v>0</v>
      </c>
      <c r="P37" s="465">
        <f>IF($B$34&gt;0,(($B$34-IF('Project Assumptions'!$I$34="Normal",SUM('Debt Amortization'!$E$36:R36),SUM('Debt Amortization'!$E$86:R86)))/$B$34),0)</f>
        <v>0</v>
      </c>
      <c r="Q37" s="465">
        <f>IF($B$34&gt;0,(($B$34-IF('Project Assumptions'!$I$34="Normal",SUM('Debt Amortization'!$E$36:S36),SUM('Debt Amortization'!$E$86:S86)))/$B$34),0)</f>
        <v>0</v>
      </c>
      <c r="R37" s="465">
        <f>IF($B$34&gt;0,(($B$34-IF('Project Assumptions'!$I$34="Normal",SUM('Debt Amortization'!$E$36:T36),SUM('Debt Amortization'!$E$86:T86)))/$B$34),0)</f>
        <v>0</v>
      </c>
      <c r="S37" s="465">
        <f>IF($B$34&gt;0,(($B$34-IF('Project Assumptions'!$I$34="Normal",SUM('Debt Amortization'!$E$36:U36),SUM('Debt Amortization'!$E$86:U86)))/$B$34),0)</f>
        <v>0</v>
      </c>
      <c r="T37" s="465">
        <f>IF($B$34&gt;0,(($B$34-IF('Project Assumptions'!$I$34="Normal",SUM('Debt Amortization'!$E$36:V36),SUM('Debt Amortization'!$E$86:V86)))/$B$34),0)</f>
        <v>0</v>
      </c>
      <c r="U37" s="465">
        <f>IF($B$34&gt;0,(($B$34-IF('Project Assumptions'!$I$34="Normal",SUM('Debt Amortization'!$E$36:W36),SUM('Debt Amortization'!$E$86:W86)))/$B$34),0)</f>
        <v>0</v>
      </c>
      <c r="V37" s="465">
        <f>IF($B$34&gt;0,(($B$34-IF('Project Assumptions'!$I$34="Normal",SUM('Debt Amortization'!$E$36:X36),SUM('Debt Amortization'!$E$86:X86)))/$B$34),0)</f>
        <v>0</v>
      </c>
      <c r="W37" s="465">
        <f>IF($B$34&gt;0,(($B$34-IF('Project Assumptions'!$I$34="Normal",SUM('Debt Amortization'!$E$36:Y36),SUM('Debt Amortization'!$E$86:Y86)))/$B$34),0)</f>
        <v>0</v>
      </c>
      <c r="X37" s="465">
        <f>IF($B$34&gt;0,(($B$34-IF('Project Assumptions'!$I$34="Normal",SUM('Debt Amortization'!$E$36:Z36),SUM('Debt Amortization'!$E$86:Z86)))/$B$34),0)</f>
        <v>0</v>
      </c>
      <c r="Y37" s="465">
        <f>IF($B$34&gt;0,(($B$34-IF('Project Assumptions'!$I$34="Normal",SUM('Debt Amortization'!$E$36:AA36),SUM('Debt Amortization'!$E$86:AA86)))/$B$34),0)</f>
        <v>0</v>
      </c>
      <c r="Z37" s="465">
        <f>IF($B$34&gt;0,(($B$34-IF('Project Assumptions'!$I$34="Normal",SUM('Debt Amortization'!$E$36:AB36),SUM('Debt Amortization'!$E$86:AB86)))/$B$34),0)</f>
        <v>0</v>
      </c>
      <c r="AA37" s="822">
        <f>IF($B$34&gt;0,(($B$34-IF('Project Assumptions'!$I$34="Normal",SUM('Debt Amortization'!$E$36:AC36),SUM('Debt Amortization'!$E$86:AC86)))/$B$34),0)</f>
        <v>0</v>
      </c>
      <c r="AB37" s="205"/>
      <c r="AC37" s="205"/>
      <c r="AD37" s="205"/>
      <c r="AE37" s="205"/>
      <c r="AF37" s="205"/>
    </row>
    <row r="38" spans="1:32" s="42" customFormat="1" ht="11.25">
      <c r="A38" s="511"/>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524"/>
      <c r="AB38" s="205"/>
      <c r="AC38" s="205"/>
      <c r="AD38" s="205"/>
      <c r="AE38" s="205"/>
      <c r="AF38" s="205"/>
    </row>
    <row r="39" spans="1:32" s="42" customFormat="1" ht="12.6" customHeight="1">
      <c r="A39" s="523" t="s">
        <v>188</v>
      </c>
      <c r="B39" s="591">
        <f>IF('Project Assumptions'!$I$34="Normal",'Debt Amortization'!B21,'Debt Amortization'!C99)</f>
        <v>70619.695289999989</v>
      </c>
      <c r="C39" s="818"/>
      <c r="D39" s="818"/>
      <c r="E39" s="818"/>
      <c r="F39" s="818"/>
      <c r="G39" s="818"/>
      <c r="H39" s="818"/>
      <c r="I39" s="818"/>
      <c r="J39" s="818"/>
      <c r="K39" s="818"/>
      <c r="L39" s="818"/>
      <c r="M39" s="818"/>
      <c r="N39" s="818"/>
      <c r="O39" s="818"/>
      <c r="P39" s="818"/>
      <c r="Q39" s="818"/>
      <c r="R39" s="818"/>
      <c r="S39" s="818"/>
      <c r="T39" s="818"/>
      <c r="U39" s="818"/>
      <c r="V39" s="818"/>
      <c r="W39" s="818"/>
      <c r="X39" s="818"/>
      <c r="Y39" s="818"/>
      <c r="Z39" s="818"/>
      <c r="AA39" s="819"/>
      <c r="AB39" s="205"/>
      <c r="AC39" s="205"/>
      <c r="AD39" s="205"/>
      <c r="AE39" s="205"/>
      <c r="AF39" s="205"/>
    </row>
    <row r="40" spans="1:32" s="42" customFormat="1" ht="12.6" customHeight="1">
      <c r="A40" s="511" t="s">
        <v>111</v>
      </c>
      <c r="B40" s="253"/>
      <c r="C40" s="591">
        <f>IF('Project Assumptions'!$I$34="Normal",'Debt Amortization'!E45,'Debt Amortization'!E101)</f>
        <v>0</v>
      </c>
      <c r="D40" s="591">
        <f>IF('Project Assumptions'!$I$34="Normal",'Debt Amortization'!F45,'Debt Amortization'!F101)</f>
        <v>0</v>
      </c>
      <c r="E40" s="591">
        <f>IF('Project Assumptions'!$I$34="Normal",'Debt Amortization'!G45,'Debt Amortization'!G101)</f>
        <v>0</v>
      </c>
      <c r="F40" s="591">
        <f>IF('Project Assumptions'!$I$34="Normal",'Debt Amortization'!H45,'Debt Amortization'!H101)</f>
        <v>0</v>
      </c>
      <c r="G40" s="591">
        <f>IF('Project Assumptions'!$I$34="Normal",'Debt Amortization'!I45,'Debt Amortization'!I101)</f>
        <v>1412.3939057999999</v>
      </c>
      <c r="H40" s="591">
        <f>IF('Project Assumptions'!$I$34="Normal",'Debt Amortization'!J45,'Debt Amortization'!J101)</f>
        <v>1412.3939057999999</v>
      </c>
      <c r="I40" s="591">
        <f>IF('Project Assumptions'!$I$34="Normal",'Debt Amortization'!K45,'Debt Amortization'!K101)</f>
        <v>2118.5908586999994</v>
      </c>
      <c r="J40" s="591">
        <f>IF('Project Assumptions'!$I$34="Normal",'Debt Amortization'!L45,'Debt Amortization'!L101)</f>
        <v>2118.5908586999994</v>
      </c>
      <c r="K40" s="591">
        <f>IF('Project Assumptions'!$I$34="Normal",'Debt Amortization'!M45,'Debt Amortization'!M101)</f>
        <v>2118.5908586999994</v>
      </c>
      <c r="L40" s="591">
        <f>IF('Project Assumptions'!$I$34="Normal",'Debt Amortization'!N45,'Debt Amortization'!N101)</f>
        <v>2824.7878115999997</v>
      </c>
      <c r="M40" s="591">
        <f>IF('Project Assumptions'!$I$34="Normal",'Debt Amortization'!O45,'Debt Amortization'!O101)</f>
        <v>2824.7878115999997</v>
      </c>
      <c r="N40" s="591">
        <f>IF('Project Assumptions'!$I$34="Normal",'Debt Amortization'!P45,'Debt Amortization'!P101)</f>
        <v>3530.9847644999995</v>
      </c>
      <c r="O40" s="591">
        <f>IF('Project Assumptions'!$I$34="Normal",'Debt Amortization'!Q45,'Debt Amortization'!Q101)</f>
        <v>3530.9847644999995</v>
      </c>
      <c r="P40" s="591">
        <f>IF('Project Assumptions'!$I$34="Normal",'Debt Amortization'!R45,'Debt Amortization'!R101)</f>
        <v>3530.9847644999995</v>
      </c>
      <c r="Q40" s="591">
        <f>IF('Project Assumptions'!$I$34="Normal",'Debt Amortization'!S45,'Debt Amortization'!S101)</f>
        <v>3530.9847644999995</v>
      </c>
      <c r="R40" s="591">
        <f>IF('Project Assumptions'!$I$34="Normal",'Debt Amortization'!T45,'Debt Amortization'!T101)</f>
        <v>3530.9847644999995</v>
      </c>
      <c r="S40" s="591">
        <f>IF('Project Assumptions'!$I$34="Normal",'Debt Amortization'!U45,'Debt Amortization'!U101)</f>
        <v>7061.9695289999991</v>
      </c>
      <c r="T40" s="591">
        <f>IF('Project Assumptions'!$I$34="Normal",'Debt Amortization'!V45,'Debt Amortization'!V101)</f>
        <v>8474.3634347999978</v>
      </c>
      <c r="U40" s="591">
        <f>IF('Project Assumptions'!$I$34="Normal",'Debt Amortization'!W45,'Debt Amortization'!W101)</f>
        <v>10592.954293499997</v>
      </c>
      <c r="V40" s="591">
        <f>IF('Project Assumptions'!$I$34="Normal",'Debt Amortization'!X45,'Debt Amortization'!X101)</f>
        <v>12005.348199299999</v>
      </c>
      <c r="W40" s="591">
        <f>IF('Project Assumptions'!$I$34="Normal",'Debt Amortization'!Y45,'Debt Amortization'!Y101)</f>
        <v>0</v>
      </c>
      <c r="X40" s="591">
        <f>IF('Project Assumptions'!$I$34="Normal",'Debt Amortization'!Z45,'Debt Amortization'!Z101)</f>
        <v>0</v>
      </c>
      <c r="Y40" s="591">
        <f>IF('Project Assumptions'!$I$34="Normal",'Debt Amortization'!AA45,'Debt Amortization'!AA101)</f>
        <v>0</v>
      </c>
      <c r="Z40" s="591">
        <f>IF('Project Assumptions'!$I$34="Normal",'Debt Amortization'!AB45,'Debt Amortization'!AB101)</f>
        <v>0</v>
      </c>
      <c r="AA40" s="626">
        <f>IF('Project Assumptions'!$I$34="Normal",'Debt Amortization'!AC45,'Debt Amortization'!AC101)</f>
        <v>0</v>
      </c>
      <c r="AB40" s="205"/>
      <c r="AC40" s="205"/>
      <c r="AD40" s="205"/>
      <c r="AE40" s="205"/>
      <c r="AF40" s="205"/>
    </row>
    <row r="41" spans="1:32" s="42" customFormat="1" ht="12.6" customHeight="1">
      <c r="A41" s="511" t="s">
        <v>268</v>
      </c>
      <c r="B41" s="253"/>
      <c r="C41" s="820" t="str">
        <f>+IF(C40&lt;1, "N/A",'Book Income Statement'!D63/C40)</f>
        <v>N/A</v>
      </c>
      <c r="D41" s="820" t="str">
        <f>+IF(D40&lt;1, "N/A",'Book Income Statement'!E63/D40)</f>
        <v>N/A</v>
      </c>
      <c r="E41" s="820" t="str">
        <f>+IF(E40&lt;1, "N/A",'Book Income Statement'!F63/E40)</f>
        <v>N/A</v>
      </c>
      <c r="F41" s="820" t="str">
        <f>+IF(F40&lt;1, "N/A",'Book Income Statement'!G63/F40)</f>
        <v>N/A</v>
      </c>
      <c r="G41" s="820">
        <f>+IF(G40&lt;1, "N/A",'Book Income Statement'!H63/G40)</f>
        <v>21.753726216329959</v>
      </c>
      <c r="H41" s="820">
        <f>+IF(H40&lt;1, "N/A",'Book Income Statement'!I63/H40)</f>
        <v>21.963621366925739</v>
      </c>
      <c r="I41" s="820">
        <f>+IF(I40&lt;1, "N/A",'Book Income Statement'!J63/I40)</f>
        <v>14.777588927582858</v>
      </c>
      <c r="J41" s="820">
        <f>+IF(J40&lt;1, "N/A",'Book Income Statement'!K63/J40)</f>
        <v>15.224216186261351</v>
      </c>
      <c r="K41" s="820">
        <f>+IF(K40&lt;1, "N/A",'Book Income Statement'!L63/K40)</f>
        <v>15.358124429761245</v>
      </c>
      <c r="L41" s="820">
        <f>+IF(L40&lt;1, "N/A",'Book Income Statement'!M63/L40)</f>
        <v>11.866625815128813</v>
      </c>
      <c r="M41" s="820">
        <f>+IF(M40&lt;1, "N/A",'Book Income Statement'!N63/M40)</f>
        <v>11.965615475997227</v>
      </c>
      <c r="N41" s="820">
        <f>+IF(N40&lt;1, "N/A",'Book Income Statement'!O63/N40)</f>
        <v>9.8616469067323234</v>
      </c>
      <c r="O41" s="820">
        <f>+IF(O40&lt;1, "N/A",'Book Income Statement'!P63/O40)</f>
        <v>9.9392469720023549</v>
      </c>
      <c r="P41" s="820">
        <f>+IF(P40&lt;1, "N/A",'Book Income Statement'!Q63/P40)</f>
        <v>10.012568166337209</v>
      </c>
      <c r="Q41" s="820">
        <f>+IF(Q40&lt;1, "N/A",'Book Income Statement'!R63/Q40)</f>
        <v>10.081283917422033</v>
      </c>
      <c r="R41" s="820">
        <f>+IF(R40&lt;1, "N/A",'Book Income Statement'!S63/R40)</f>
        <v>10.145051909586927</v>
      </c>
      <c r="S41" s="820">
        <f>+IF(S40&lt;1, "N/A",'Book Income Statement'!T63/S40)</f>
        <v>5.1017567165603577</v>
      </c>
      <c r="T41" s="820">
        <f>+IF(T40&lt;1, "N/A",'Book Income Statement'!U63/T40)</f>
        <v>4.2734552952969116</v>
      </c>
      <c r="U41" s="820">
        <f>+IF(U40&lt;1, "N/A",'Book Income Statement'!V63/U40)</f>
        <v>3.4343320620382807</v>
      </c>
      <c r="V41" s="820">
        <f>+IF(V40&lt;1, "N/A",'Book Income Statement'!W63/V40)</f>
        <v>3.0421211223788434</v>
      </c>
      <c r="W41" s="820" t="str">
        <f>+IF(W40&lt;1, "N/A",'Book Income Statement'!X63/W40)</f>
        <v>N/A</v>
      </c>
      <c r="X41" s="820" t="str">
        <f>+IF(X40&lt;1, "N/A",'Book Income Statement'!Y63/X40)</f>
        <v>N/A</v>
      </c>
      <c r="Y41" s="820" t="str">
        <f>+IF(Y40&lt;1, "N/A",'Book Income Statement'!Z63/Y40)</f>
        <v>N/A</v>
      </c>
      <c r="Z41" s="820" t="str">
        <f>+IF(Z40&lt;1, "N/A",'Book Income Statement'!AA63/Z40)</f>
        <v>N/A</v>
      </c>
      <c r="AA41" s="821" t="str">
        <f>+IF(AA40&lt;1, "N/A",'Book Income Statement'!AB63/AA40)</f>
        <v>N/A</v>
      </c>
      <c r="AB41" s="205"/>
      <c r="AC41" s="205"/>
      <c r="AD41" s="205"/>
      <c r="AE41" s="205"/>
      <c r="AF41" s="205"/>
    </row>
    <row r="42" spans="1:32" s="42" customFormat="1" ht="12.6" customHeight="1">
      <c r="A42" s="544" t="s">
        <v>110</v>
      </c>
      <c r="B42" s="545"/>
      <c r="C42" s="823">
        <f>IF($B$39&gt;0,(($B$39-IF('Project Assumptions'!$I$34="Normal",SUM('Debt Amortization'!$E$44:E44),SUM('Debt Amortization'!$E$101:E101)))/$B$39),0)</f>
        <v>1</v>
      </c>
      <c r="D42" s="823">
        <f>IF($B$39&gt;0,(($B$39-IF('Project Assumptions'!$I$34="Normal",SUM('Debt Amortization'!$E$44:F44),SUM('Debt Amortization'!$E$101:F101)))/$B$39),0)</f>
        <v>1</v>
      </c>
      <c r="E42" s="823">
        <f>IF($B$39&gt;0,(($B$39-IF('Project Assumptions'!$I$34="Normal",SUM('Debt Amortization'!$E$44:G44),SUM('Debt Amortization'!$E$101:G101)))/$B$39),0)</f>
        <v>1</v>
      </c>
      <c r="F42" s="823">
        <f>IF($B$39&gt;0,(($B$39-IF('Project Assumptions'!$I$34="Normal",SUM('Debt Amortization'!$E$44:H44),SUM('Debt Amortization'!$E$101:H101)))/$B$39),0)</f>
        <v>1</v>
      </c>
      <c r="G42" s="823">
        <f>IF($B$39&gt;0,(($B$39-IF('Project Assumptions'!$I$34="Normal",SUM('Debt Amortization'!$E$44:I44),SUM('Debt Amortization'!$E$101:I101)))/$B$39),0)</f>
        <v>0.98000000000000009</v>
      </c>
      <c r="H42" s="823">
        <f>IF($B$39&gt;0,(($B$39-IF('Project Assumptions'!$I$34="Normal",SUM('Debt Amortization'!$E$44:J44),SUM('Debt Amortization'!$E$101:J101)))/$B$39),0)</f>
        <v>0.95999999999999985</v>
      </c>
      <c r="I42" s="823">
        <f>IF($B$39&gt;0,(($B$39-IF('Project Assumptions'!$I$34="Normal",SUM('Debt Amortization'!$E$44:K44),SUM('Debt Amortization'!$E$101:K101)))/$B$39),0)</f>
        <v>0.93</v>
      </c>
      <c r="J42" s="823">
        <f>IF($B$39&gt;0,(($B$39-IF('Project Assumptions'!$I$34="Normal",SUM('Debt Amortization'!$E$44:L44),SUM('Debt Amortization'!$E$101:L101)))/$B$39),0)</f>
        <v>0.9</v>
      </c>
      <c r="K42" s="823">
        <f>IF($B$39&gt;0,(($B$39-IF('Project Assumptions'!$I$34="Normal",SUM('Debt Amortization'!$E$44:M44),SUM('Debt Amortization'!$E$101:M101)))/$B$39),0)</f>
        <v>0.87</v>
      </c>
      <c r="L42" s="823">
        <f>IF($B$39&gt;0,(($B$39-IF('Project Assumptions'!$I$34="Normal",SUM('Debt Amortization'!$E$44:N44),SUM('Debt Amortization'!$E$101:N101)))/$B$39),0)</f>
        <v>0.83000000000000007</v>
      </c>
      <c r="M42" s="823">
        <f>IF($B$39&gt;0,(($B$39-IF('Project Assumptions'!$I$34="Normal",SUM('Debt Amortization'!$E$44:O44),SUM('Debt Amortization'!$E$101:O101)))/$B$39),0)</f>
        <v>0.79</v>
      </c>
      <c r="N42" s="823">
        <f>IF($B$39&gt;0,(($B$39-IF('Project Assumptions'!$I$34="Normal",SUM('Debt Amortization'!$E$44:P44),SUM('Debt Amortization'!$E$101:P101)))/$B$39),0)</f>
        <v>0.7400000000000001</v>
      </c>
      <c r="O42" s="823">
        <f>IF($B$39&gt;0,(($B$39-IF('Project Assumptions'!$I$34="Normal",SUM('Debt Amortization'!$E$44:Q44),SUM('Debt Amortization'!$E$101:Q101)))/$B$39),0)</f>
        <v>0.69000000000000006</v>
      </c>
      <c r="P42" s="823">
        <f>IF($B$39&gt;0,(($B$39-IF('Project Assumptions'!$I$34="Normal",SUM('Debt Amortization'!$E$44:R44),SUM('Debt Amortization'!$E$101:R101)))/$B$39),0)</f>
        <v>0.6399999999999999</v>
      </c>
      <c r="Q42" s="823">
        <f>IF($B$39&gt;0,(($B$39-IF('Project Assumptions'!$I$34="Normal",SUM('Debt Amortization'!$E$44:S44),SUM('Debt Amortization'!$E$101:S101)))/$B$39),0)</f>
        <v>0.59</v>
      </c>
      <c r="R42" s="823">
        <f>IF($B$39&gt;0,(($B$39-IF('Project Assumptions'!$I$34="Normal",SUM('Debt Amortization'!$E$44:T44),SUM('Debt Amortization'!$E$101:T101)))/$B$39),0)</f>
        <v>0.54</v>
      </c>
      <c r="S42" s="823">
        <f>IF($B$39&gt;0,(($B$39-IF('Project Assumptions'!$I$34="Normal",SUM('Debt Amortization'!$E$44:U44),SUM('Debt Amortization'!$E$101:U101)))/$B$39),0)</f>
        <v>0.43999999999999995</v>
      </c>
      <c r="T42" s="823">
        <f>IF($B$39&gt;0,(($B$39-IF('Project Assumptions'!$I$34="Normal",SUM('Debt Amortization'!$E$44:V44),SUM('Debt Amortization'!$E$101:V101)))/$B$39),0)</f>
        <v>0.31999999999999995</v>
      </c>
      <c r="U42" s="823">
        <f>IF($B$39&gt;0,(($B$39-IF('Project Assumptions'!$I$34="Normal",SUM('Debt Amortization'!$E$44:W44),SUM('Debt Amortization'!$E$101:W101)))/$B$39),0)</f>
        <v>0.16999999999999996</v>
      </c>
      <c r="V42" s="823">
        <f>IF($B$39&gt;0,(($B$39-IF('Project Assumptions'!$I$34="Normal",SUM('Debt Amortization'!$E$44:X44),SUM('Debt Amortization'!$E$101:X101)))/$B$39),0)</f>
        <v>0</v>
      </c>
      <c r="W42" s="823">
        <f>IF($B$39&gt;0,(($B$39-IF('Project Assumptions'!$I$34="Normal",SUM('Debt Amortization'!$E$44:Y44),SUM('Debt Amortization'!$E$101:Y101)))/$B$39),0)</f>
        <v>0</v>
      </c>
      <c r="X42" s="823">
        <f>IF($B$39&gt;0,(($B$39-IF('Project Assumptions'!$I$34="Normal",SUM('Debt Amortization'!$E$44:Z44),SUM('Debt Amortization'!$E$101:Z101)))/$B$39),0)</f>
        <v>0</v>
      </c>
      <c r="Y42" s="823">
        <f>IF($B$39&gt;0,(($B$39-IF('Project Assumptions'!$I$34="Normal",SUM('Debt Amortization'!$E$44:AA44),SUM('Debt Amortization'!$E$101:AA101)))/$B$39),0)</f>
        <v>0</v>
      </c>
      <c r="Z42" s="823">
        <f>IF($B$39&gt;0,(($B$39-IF('Project Assumptions'!$I$34="Normal",SUM('Debt Amortization'!$E$44:AB44),SUM('Debt Amortization'!$E$101:AB101)))/$B$39),0)</f>
        <v>0</v>
      </c>
      <c r="AA42" s="824">
        <f>IF($B$39&gt;0,(($B$39-IF('Project Assumptions'!$I$34="Normal",SUM('Debt Amortization'!$E$44:AC44),SUM('Debt Amortization'!$E$101:AC101)))/$B$39),0)</f>
        <v>0</v>
      </c>
      <c r="AB42" s="205"/>
      <c r="AC42" s="205"/>
      <c r="AD42" s="205"/>
      <c r="AE42" s="205"/>
      <c r="AF42" s="205"/>
    </row>
    <row r="43" spans="1:32" ht="12.6" customHeight="1"/>
    <row r="44" spans="1:32" ht="12.6" customHeight="1"/>
    <row r="45" spans="1:32" ht="12.6" customHeight="1"/>
    <row r="46" spans="1:32" ht="12.6" customHeight="1"/>
    <row r="47" spans="1:32" ht="12.6" customHeight="1"/>
    <row r="48" spans="1:32" ht="12.6" customHeight="1"/>
    <row r="49" ht="12.6" customHeight="1"/>
    <row r="87" spans="1:32" s="42" customFormat="1" ht="12.6" customHeight="1">
      <c r="A87" s="205"/>
      <c r="B87" s="205"/>
      <c r="C87" s="303"/>
      <c r="D87" s="303"/>
      <c r="E87" s="303"/>
      <c r="F87" s="303"/>
      <c r="G87" s="303"/>
      <c r="H87" s="303"/>
      <c r="I87" s="303"/>
      <c r="J87" s="303"/>
      <c r="K87" s="303"/>
      <c r="L87" s="303"/>
      <c r="M87" s="303"/>
      <c r="N87" s="303"/>
      <c r="O87" s="303"/>
      <c r="P87" s="303"/>
      <c r="Q87" s="303"/>
      <c r="R87" s="303"/>
      <c r="S87" s="303"/>
      <c r="T87" s="303"/>
      <c r="U87" s="303"/>
      <c r="V87" s="303"/>
      <c r="W87" s="303"/>
      <c r="X87" s="303"/>
      <c r="Y87" s="303"/>
      <c r="Z87" s="303"/>
      <c r="AA87" s="303"/>
      <c r="AB87" s="205"/>
      <c r="AC87" s="205"/>
      <c r="AD87" s="205"/>
      <c r="AE87" s="205"/>
      <c r="AF87" s="205"/>
    </row>
    <row r="88" spans="1:32" s="42" customFormat="1" ht="12.6" customHeight="1">
      <c r="A88" s="205"/>
      <c r="B88" s="205"/>
      <c r="C88" s="825"/>
      <c r="D88" s="825"/>
      <c r="E88" s="825"/>
      <c r="F88" s="825"/>
      <c r="G88" s="825"/>
      <c r="H88" s="825"/>
      <c r="I88" s="825"/>
      <c r="J88" s="825"/>
      <c r="K88" s="825"/>
      <c r="L88" s="825"/>
      <c r="M88" s="825"/>
      <c r="N88" s="825"/>
      <c r="O88" s="825"/>
      <c r="P88" s="825"/>
      <c r="Q88" s="825"/>
      <c r="R88" s="825"/>
      <c r="S88" s="825"/>
      <c r="T88" s="825"/>
      <c r="U88" s="825"/>
      <c r="V88" s="825"/>
      <c r="W88" s="825"/>
      <c r="X88" s="825"/>
      <c r="Y88" s="825"/>
      <c r="Z88" s="825"/>
      <c r="AA88" s="825"/>
      <c r="AB88" s="205"/>
      <c r="AC88" s="205"/>
      <c r="AD88" s="205"/>
      <c r="AE88" s="205"/>
      <c r="AF88" s="205"/>
    </row>
    <row r="89" spans="1:32" s="42" customFormat="1" ht="12.6" customHeight="1">
      <c r="A89" s="205"/>
      <c r="B89" s="205"/>
      <c r="C89" s="303"/>
      <c r="D89" s="303"/>
      <c r="E89" s="303"/>
      <c r="F89" s="303"/>
      <c r="G89" s="303"/>
      <c r="H89" s="303"/>
      <c r="I89" s="303"/>
      <c r="J89" s="303"/>
      <c r="K89" s="303"/>
      <c r="L89" s="303"/>
      <c r="M89" s="303"/>
      <c r="N89" s="303"/>
      <c r="O89" s="303"/>
      <c r="P89" s="303"/>
      <c r="Q89" s="303"/>
      <c r="R89" s="303"/>
      <c r="S89" s="303"/>
      <c r="T89" s="303"/>
      <c r="U89" s="303"/>
      <c r="V89" s="303"/>
      <c r="W89" s="303"/>
      <c r="X89" s="303"/>
      <c r="Y89" s="303"/>
      <c r="Z89" s="303"/>
      <c r="AA89" s="303"/>
      <c r="AB89" s="205"/>
      <c r="AC89" s="205"/>
      <c r="AD89" s="205"/>
      <c r="AE89" s="205"/>
      <c r="AF89" s="205"/>
    </row>
    <row r="90" spans="1:32" s="42" customFormat="1" ht="12.6" customHeight="1">
      <c r="A90" s="205"/>
      <c r="B90" s="205"/>
      <c r="C90" s="825"/>
      <c r="D90" s="825"/>
      <c r="E90" s="825"/>
      <c r="F90" s="825"/>
      <c r="G90" s="825"/>
      <c r="H90" s="825"/>
      <c r="I90" s="825"/>
      <c r="J90" s="825"/>
      <c r="K90" s="825"/>
      <c r="L90" s="825"/>
      <c r="M90" s="825"/>
      <c r="N90" s="825"/>
      <c r="O90" s="825"/>
      <c r="P90" s="825"/>
      <c r="Q90" s="825"/>
      <c r="R90" s="825"/>
      <c r="S90" s="825"/>
      <c r="T90" s="825"/>
      <c r="U90" s="825"/>
      <c r="V90" s="825"/>
      <c r="W90" s="825"/>
      <c r="X90" s="825"/>
      <c r="Y90" s="825"/>
      <c r="Z90" s="825"/>
      <c r="AA90" s="825"/>
      <c r="AB90" s="205"/>
      <c r="AC90" s="205"/>
      <c r="AD90" s="205"/>
      <c r="AE90" s="205"/>
      <c r="AF90" s="205"/>
    </row>
    <row r="91" spans="1:32">
      <c r="C91" s="826"/>
      <c r="D91" s="826"/>
      <c r="E91" s="826"/>
      <c r="F91" s="826"/>
      <c r="G91" s="826"/>
      <c r="H91" s="826"/>
      <c r="I91" s="826"/>
      <c r="J91" s="826"/>
      <c r="K91" s="826"/>
      <c r="L91" s="826"/>
      <c r="M91" s="826"/>
      <c r="N91" s="826"/>
      <c r="O91" s="826"/>
      <c r="P91" s="826"/>
      <c r="Q91" s="826"/>
      <c r="R91" s="826"/>
      <c r="S91" s="826"/>
      <c r="T91" s="826"/>
      <c r="U91" s="826"/>
      <c r="V91" s="826"/>
      <c r="W91" s="826"/>
      <c r="X91" s="826"/>
      <c r="Y91" s="826"/>
      <c r="Z91" s="826"/>
      <c r="AA91" s="826"/>
    </row>
    <row r="93" spans="1:32">
      <c r="C93" s="826"/>
      <c r="D93" s="826"/>
      <c r="E93" s="826"/>
      <c r="F93" s="826"/>
      <c r="G93" s="826"/>
      <c r="H93" s="826"/>
      <c r="I93" s="826"/>
      <c r="J93" s="826"/>
      <c r="K93" s="826"/>
      <c r="L93" s="826"/>
      <c r="M93" s="826"/>
      <c r="N93" s="826"/>
      <c r="O93" s="826"/>
      <c r="P93" s="826"/>
      <c r="Q93" s="826"/>
      <c r="R93" s="826"/>
      <c r="S93" s="826"/>
      <c r="T93" s="826"/>
      <c r="U93" s="826"/>
      <c r="V93" s="826"/>
      <c r="W93" s="826"/>
      <c r="X93" s="826"/>
      <c r="Y93" s="826"/>
      <c r="Z93" s="826"/>
      <c r="AA93" s="826"/>
    </row>
    <row r="96" spans="1:32" ht="12.6" customHeight="1"/>
    <row r="97" ht="12.6" customHeight="1"/>
    <row r="131" spans="1:229" s="42" customFormat="1" ht="12.6" customHeight="1">
      <c r="A131" s="205"/>
      <c r="B131" s="205"/>
      <c r="C131" s="665"/>
      <c r="D131" s="665"/>
      <c r="E131" s="665"/>
      <c r="F131" s="665"/>
      <c r="G131" s="665"/>
      <c r="H131" s="665"/>
      <c r="I131" s="665"/>
      <c r="J131" s="665"/>
      <c r="K131" s="665"/>
      <c r="L131" s="665"/>
      <c r="M131" s="665"/>
      <c r="N131" s="665"/>
      <c r="O131" s="665"/>
      <c r="P131" s="665"/>
      <c r="Q131" s="665"/>
      <c r="R131" s="665"/>
      <c r="S131" s="665"/>
      <c r="T131" s="665"/>
      <c r="U131" s="665"/>
      <c r="V131" s="665"/>
      <c r="W131" s="665"/>
      <c r="X131" s="665"/>
      <c r="Y131" s="665"/>
      <c r="Z131" s="665"/>
      <c r="AA131" s="665"/>
      <c r="AB131" s="205"/>
      <c r="AC131" s="205"/>
      <c r="AD131" s="205"/>
      <c r="AE131" s="205"/>
      <c r="AF131" s="205"/>
    </row>
    <row r="132" spans="1:229" s="42" customFormat="1" ht="12.6" customHeight="1">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c r="AE132" s="205"/>
      <c r="AF132" s="205"/>
    </row>
    <row r="133" spans="1:229" s="42" customFormat="1" ht="12.6" customHeight="1">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c r="AE133" s="205"/>
      <c r="AF133" s="205"/>
    </row>
    <row r="134" spans="1:229" s="45" customFormat="1" ht="15.75">
      <c r="A134" s="827"/>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c r="AE134" s="253"/>
      <c r="AF134" s="253"/>
    </row>
    <row r="135" spans="1:229" s="42" customFormat="1" ht="12.6" customHeight="1">
      <c r="A135" s="205"/>
      <c r="B135" s="205"/>
      <c r="C135" s="825"/>
      <c r="D135" s="825"/>
      <c r="E135" s="825"/>
      <c r="F135" s="825"/>
      <c r="G135" s="825"/>
      <c r="H135" s="825"/>
      <c r="I135" s="825"/>
      <c r="J135" s="825"/>
      <c r="K135" s="825"/>
      <c r="L135" s="825"/>
      <c r="M135" s="825"/>
      <c r="N135" s="825"/>
      <c r="O135" s="825"/>
      <c r="P135" s="825"/>
      <c r="Q135" s="825"/>
      <c r="R135" s="825"/>
      <c r="S135" s="825"/>
      <c r="T135" s="825"/>
      <c r="U135" s="825"/>
      <c r="V135" s="825"/>
      <c r="W135" s="825"/>
      <c r="X135" s="825"/>
      <c r="Y135" s="825"/>
      <c r="Z135" s="825"/>
      <c r="AA135" s="825"/>
      <c r="AB135" s="205"/>
      <c r="AC135" s="205"/>
      <c r="AD135" s="205"/>
      <c r="AE135" s="205"/>
      <c r="AF135" s="205"/>
    </row>
    <row r="136" spans="1:229" s="42" customFormat="1" ht="12.6" customHeight="1">
      <c r="A136" s="205"/>
      <c r="B136" s="205"/>
      <c r="C136" s="825"/>
      <c r="D136" s="825"/>
      <c r="E136" s="825"/>
      <c r="F136" s="825"/>
      <c r="G136" s="825"/>
      <c r="H136" s="825"/>
      <c r="I136" s="825"/>
      <c r="J136" s="825"/>
      <c r="K136" s="825"/>
      <c r="L136" s="825"/>
      <c r="M136" s="825"/>
      <c r="N136" s="825"/>
      <c r="O136" s="825"/>
      <c r="P136" s="825"/>
      <c r="Q136" s="825"/>
      <c r="R136" s="825"/>
      <c r="S136" s="825"/>
      <c r="T136" s="825"/>
      <c r="U136" s="825"/>
      <c r="V136" s="825"/>
      <c r="W136" s="825"/>
      <c r="X136" s="825"/>
      <c r="Y136" s="825"/>
      <c r="Z136" s="825"/>
      <c r="AA136" s="825"/>
      <c r="AB136" s="205"/>
      <c r="AC136" s="205"/>
      <c r="AD136" s="205"/>
      <c r="AE136" s="205"/>
      <c r="AF136" s="205"/>
    </row>
    <row r="137" spans="1:229" s="42" customFormat="1" ht="12.6" customHeight="1">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c r="AE137" s="205"/>
      <c r="AF137" s="205"/>
    </row>
    <row r="138" spans="1:229" s="42" customFormat="1" ht="12.6" customHeight="1">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c r="AE138" s="205"/>
      <c r="AF138" s="205"/>
    </row>
    <row r="139" spans="1:229" s="42" customFormat="1" ht="12.6" customHeight="1">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c r="AE139" s="205"/>
      <c r="AF139" s="205"/>
    </row>
    <row r="140" spans="1:229" s="3" customFormat="1" ht="12.6" customHeight="1">
      <c r="A140" s="421"/>
      <c r="B140" s="257"/>
      <c r="C140" s="267"/>
      <c r="D140" s="431"/>
      <c r="E140" s="431"/>
      <c r="F140" s="431"/>
      <c r="G140" s="431"/>
      <c r="H140" s="431"/>
      <c r="I140" s="431"/>
      <c r="J140" s="431"/>
      <c r="K140" s="431"/>
      <c r="L140" s="431"/>
      <c r="M140" s="431"/>
      <c r="N140" s="431"/>
      <c r="O140" s="431"/>
      <c r="P140" s="431"/>
      <c r="Q140" s="431"/>
      <c r="R140" s="431"/>
      <c r="S140" s="431"/>
      <c r="T140" s="431"/>
      <c r="U140" s="431"/>
      <c r="V140" s="431"/>
      <c r="W140" s="431"/>
      <c r="X140" s="431"/>
      <c r="Y140" s="431"/>
      <c r="Z140" s="431"/>
      <c r="AA140" s="431"/>
      <c r="AB140" s="431"/>
      <c r="AC140" s="257"/>
      <c r="AD140" s="257"/>
      <c r="AE140" s="257"/>
      <c r="AF140" s="257"/>
    </row>
    <row r="141" spans="1:229" s="3" customFormat="1" ht="12.6" customHeight="1">
      <c r="A141" s="281"/>
      <c r="B141" s="258"/>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c r="Z141" s="267"/>
      <c r="AA141" s="267"/>
      <c r="AB141" s="267"/>
      <c r="AC141" s="267"/>
      <c r="AD141" s="267"/>
      <c r="AE141" s="267"/>
      <c r="AF141" s="267"/>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row>
    <row r="142" spans="1:229" s="5" customFormat="1" ht="12.6" customHeight="1">
      <c r="A142" s="281"/>
      <c r="B142" s="258"/>
      <c r="C142" s="680"/>
      <c r="D142" s="680"/>
      <c r="E142" s="680"/>
      <c r="F142" s="680"/>
      <c r="G142" s="680"/>
      <c r="H142" s="680"/>
      <c r="I142" s="680"/>
      <c r="J142" s="680"/>
      <c r="K142" s="680"/>
      <c r="L142" s="680"/>
      <c r="M142" s="680"/>
      <c r="N142" s="680"/>
      <c r="O142" s="680"/>
      <c r="P142" s="680"/>
      <c r="Q142" s="680"/>
      <c r="R142" s="680"/>
      <c r="S142" s="680"/>
      <c r="T142" s="680"/>
      <c r="U142" s="680"/>
      <c r="V142" s="680"/>
      <c r="W142" s="680"/>
      <c r="X142" s="680"/>
      <c r="Y142" s="680"/>
      <c r="Z142" s="680"/>
      <c r="AA142" s="680"/>
      <c r="AB142" s="267"/>
      <c r="AC142" s="267"/>
      <c r="AD142" s="267"/>
      <c r="AE142" s="267"/>
      <c r="AF142" s="267"/>
    </row>
    <row r="143" spans="1:229" s="42" customFormat="1" ht="12.6" customHeight="1">
      <c r="A143" s="205"/>
      <c r="B143" s="205"/>
      <c r="C143" s="665"/>
      <c r="D143" s="665"/>
      <c r="E143" s="665"/>
      <c r="F143" s="665"/>
      <c r="G143" s="665"/>
      <c r="H143" s="665"/>
      <c r="I143" s="665"/>
      <c r="J143" s="665"/>
      <c r="K143" s="665"/>
      <c r="L143" s="665"/>
      <c r="M143" s="665"/>
      <c r="N143" s="665"/>
      <c r="O143" s="665"/>
      <c r="P143" s="665"/>
      <c r="Q143" s="665"/>
      <c r="R143" s="665"/>
      <c r="S143" s="665"/>
      <c r="T143" s="665"/>
      <c r="U143" s="665"/>
      <c r="V143" s="665"/>
      <c r="W143" s="665"/>
      <c r="X143" s="665"/>
      <c r="Y143" s="665"/>
      <c r="Z143" s="665"/>
      <c r="AA143" s="665"/>
      <c r="AB143" s="205"/>
      <c r="AC143" s="205"/>
      <c r="AD143" s="205"/>
      <c r="AE143" s="205"/>
      <c r="AF143" s="205"/>
    </row>
    <row r="144" spans="1:229" s="42" customFormat="1" ht="12.6" customHeight="1">
      <c r="A144" s="205"/>
      <c r="B144" s="205"/>
      <c r="C144" s="647"/>
      <c r="D144" s="647"/>
      <c r="E144" s="647"/>
      <c r="F144" s="647"/>
      <c r="G144" s="647"/>
      <c r="H144" s="647"/>
      <c r="I144" s="647"/>
      <c r="J144" s="647"/>
      <c r="K144" s="647"/>
      <c r="L144" s="647"/>
      <c r="M144" s="647"/>
      <c r="N144" s="647"/>
      <c r="O144" s="647"/>
      <c r="P144" s="647"/>
      <c r="Q144" s="647"/>
      <c r="R144" s="647"/>
      <c r="S144" s="647"/>
      <c r="T144" s="647"/>
      <c r="U144" s="647"/>
      <c r="V144" s="647"/>
      <c r="W144" s="647"/>
      <c r="X144" s="647"/>
      <c r="Y144" s="647"/>
      <c r="Z144" s="647"/>
      <c r="AA144" s="647"/>
      <c r="AB144" s="205"/>
      <c r="AC144" s="205"/>
      <c r="AD144" s="205"/>
      <c r="AE144" s="205"/>
      <c r="AF144" s="205"/>
    </row>
    <row r="145" spans="1:32" s="5" customFormat="1" ht="12.6" customHeight="1">
      <c r="A145" s="421"/>
      <c r="B145" s="267"/>
      <c r="C145" s="680"/>
      <c r="D145" s="680"/>
      <c r="E145" s="680"/>
      <c r="F145" s="680"/>
      <c r="G145" s="680"/>
      <c r="H145" s="680"/>
      <c r="I145" s="680"/>
      <c r="J145" s="680"/>
      <c r="K145" s="680"/>
      <c r="L145" s="680"/>
      <c r="M145" s="680"/>
      <c r="N145" s="680"/>
      <c r="O145" s="680"/>
      <c r="P145" s="680"/>
      <c r="Q145" s="680"/>
      <c r="R145" s="680"/>
      <c r="S145" s="680"/>
      <c r="T145" s="680"/>
      <c r="U145" s="680"/>
      <c r="V145" s="680"/>
      <c r="W145" s="680"/>
      <c r="X145" s="680"/>
      <c r="Y145" s="680"/>
      <c r="Z145" s="680"/>
      <c r="AA145" s="680"/>
      <c r="AB145" s="267"/>
      <c r="AC145" s="267"/>
      <c r="AD145" s="267"/>
      <c r="AE145" s="267"/>
      <c r="AF145" s="267"/>
    </row>
    <row r="146" spans="1:32" s="45" customFormat="1" ht="15.75">
      <c r="A146" s="827"/>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c r="AE146" s="253"/>
      <c r="AF146" s="253"/>
    </row>
    <row r="147" spans="1:32" s="42" customFormat="1" ht="12.6" customHeight="1">
      <c r="A147" s="205"/>
      <c r="B147" s="205"/>
      <c r="C147" s="665"/>
      <c r="D147" s="665"/>
      <c r="E147" s="665"/>
      <c r="F147" s="665"/>
      <c r="G147" s="665"/>
      <c r="H147" s="665"/>
      <c r="I147" s="665"/>
      <c r="J147" s="665"/>
      <c r="K147" s="665"/>
      <c r="L147" s="665"/>
      <c r="M147" s="665"/>
      <c r="N147" s="665"/>
      <c r="O147" s="665"/>
      <c r="P147" s="665"/>
      <c r="Q147" s="665"/>
      <c r="R147" s="665"/>
      <c r="S147" s="665"/>
      <c r="T147" s="665"/>
      <c r="U147" s="665"/>
      <c r="V147" s="665"/>
      <c r="W147" s="665"/>
      <c r="X147" s="665"/>
      <c r="Y147" s="665"/>
      <c r="Z147" s="665"/>
      <c r="AA147" s="665"/>
      <c r="AB147" s="205"/>
      <c r="AC147" s="205"/>
      <c r="AD147" s="205"/>
      <c r="AE147" s="205"/>
      <c r="AF147" s="205"/>
    </row>
    <row r="148" spans="1:32" s="42" customFormat="1" ht="12.6" customHeight="1">
      <c r="A148" s="205"/>
      <c r="B148" s="205"/>
      <c r="C148" s="665"/>
      <c r="D148" s="665"/>
      <c r="E148" s="665"/>
      <c r="F148" s="665"/>
      <c r="G148" s="665"/>
      <c r="H148" s="665"/>
      <c r="I148" s="665"/>
      <c r="J148" s="665"/>
      <c r="K148" s="665"/>
      <c r="L148" s="665"/>
      <c r="M148" s="665"/>
      <c r="N148" s="665"/>
      <c r="O148" s="665"/>
      <c r="P148" s="665"/>
      <c r="Q148" s="665"/>
      <c r="R148" s="665"/>
      <c r="S148" s="665"/>
      <c r="T148" s="665"/>
      <c r="U148" s="665"/>
      <c r="V148" s="665"/>
      <c r="W148" s="665"/>
      <c r="X148" s="665"/>
      <c r="Y148" s="665"/>
      <c r="Z148" s="665"/>
      <c r="AA148" s="665"/>
      <c r="AB148" s="205"/>
      <c r="AC148" s="205"/>
      <c r="AD148" s="205"/>
      <c r="AE148" s="205"/>
      <c r="AF148" s="205"/>
    </row>
    <row r="149" spans="1:32" s="42" customFormat="1" ht="12.6" customHeight="1">
      <c r="A149" s="205"/>
      <c r="B149" s="205"/>
      <c r="C149" s="665"/>
      <c r="D149" s="665"/>
      <c r="E149" s="665"/>
      <c r="F149" s="665"/>
      <c r="G149" s="665"/>
      <c r="H149" s="665"/>
      <c r="I149" s="665"/>
      <c r="J149" s="665"/>
      <c r="K149" s="665"/>
      <c r="L149" s="665"/>
      <c r="M149" s="665"/>
      <c r="N149" s="665"/>
      <c r="O149" s="665"/>
      <c r="P149" s="665"/>
      <c r="Q149" s="665"/>
      <c r="R149" s="665"/>
      <c r="S149" s="665"/>
      <c r="T149" s="665"/>
      <c r="U149" s="665"/>
      <c r="V149" s="665"/>
      <c r="W149" s="665"/>
      <c r="X149" s="665"/>
      <c r="Y149" s="665"/>
      <c r="Z149" s="665"/>
      <c r="AA149" s="665"/>
      <c r="AB149" s="205"/>
      <c r="AC149" s="205"/>
      <c r="AD149" s="205"/>
      <c r="AE149" s="205"/>
      <c r="AF149" s="205"/>
    </row>
    <row r="150" spans="1:32" s="45" customFormat="1" ht="15.75">
      <c r="A150" s="827"/>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c r="AE150" s="253"/>
      <c r="AF150" s="253"/>
    </row>
    <row r="151" spans="1:32" s="5" customFormat="1" ht="12.6" customHeight="1">
      <c r="A151" s="421"/>
      <c r="B151" s="267"/>
      <c r="C151" s="680"/>
      <c r="D151" s="680"/>
      <c r="E151" s="680"/>
      <c r="F151" s="680"/>
      <c r="G151" s="680"/>
      <c r="H151" s="680"/>
      <c r="I151" s="680"/>
      <c r="J151" s="680"/>
      <c r="K151" s="680"/>
      <c r="L151" s="680"/>
      <c r="M151" s="680"/>
      <c r="N151" s="680"/>
      <c r="O151" s="680"/>
      <c r="P151" s="680"/>
      <c r="Q151" s="680"/>
      <c r="R151" s="680"/>
      <c r="S151" s="680"/>
      <c r="T151" s="680"/>
      <c r="U151" s="680"/>
      <c r="V151" s="680"/>
      <c r="W151" s="680"/>
      <c r="X151" s="680"/>
      <c r="Y151" s="680"/>
      <c r="Z151" s="680"/>
      <c r="AA151" s="680"/>
      <c r="AB151" s="267"/>
      <c r="AC151" s="267"/>
      <c r="AD151" s="267"/>
      <c r="AE151" s="267"/>
      <c r="AF151" s="267"/>
    </row>
    <row r="152" spans="1:32" s="5" customFormat="1" ht="12.6" customHeight="1">
      <c r="A152" s="421"/>
      <c r="B152" s="267"/>
      <c r="C152" s="680"/>
      <c r="D152" s="680"/>
      <c r="E152" s="680"/>
      <c r="F152" s="680"/>
      <c r="G152" s="680"/>
      <c r="H152" s="680"/>
      <c r="I152" s="680"/>
      <c r="J152" s="680"/>
      <c r="K152" s="680"/>
      <c r="L152" s="680"/>
      <c r="M152" s="680"/>
      <c r="N152" s="680"/>
      <c r="O152" s="680"/>
      <c r="P152" s="680"/>
      <c r="Q152" s="680"/>
      <c r="R152" s="680"/>
      <c r="S152" s="680"/>
      <c r="T152" s="680"/>
      <c r="U152" s="680"/>
      <c r="V152" s="680"/>
      <c r="W152" s="680"/>
      <c r="X152" s="680"/>
      <c r="Y152" s="680"/>
      <c r="Z152" s="680"/>
      <c r="AA152" s="680"/>
      <c r="AB152" s="267"/>
      <c r="AC152" s="267"/>
      <c r="AD152" s="267"/>
      <c r="AE152" s="267"/>
      <c r="AF152" s="267"/>
    </row>
    <row r="153" spans="1:32" s="5" customFormat="1" ht="12.6" customHeight="1">
      <c r="A153" s="421"/>
      <c r="B153" s="267"/>
      <c r="C153" s="680"/>
      <c r="D153" s="680"/>
      <c r="E153" s="680"/>
      <c r="F153" s="680"/>
      <c r="G153" s="680"/>
      <c r="H153" s="680"/>
      <c r="I153" s="680"/>
      <c r="J153" s="680"/>
      <c r="K153" s="680"/>
      <c r="L153" s="680"/>
      <c r="M153" s="680"/>
      <c r="N153" s="680"/>
      <c r="O153" s="680"/>
      <c r="P153" s="680"/>
      <c r="Q153" s="680"/>
      <c r="R153" s="680"/>
      <c r="S153" s="680"/>
      <c r="T153" s="680"/>
      <c r="U153" s="680"/>
      <c r="V153" s="680"/>
      <c r="W153" s="680"/>
      <c r="X153" s="680"/>
      <c r="Y153" s="680"/>
      <c r="Z153" s="680"/>
      <c r="AA153" s="680"/>
      <c r="AB153" s="267"/>
      <c r="AC153" s="267"/>
      <c r="AD153" s="267"/>
      <c r="AE153" s="267"/>
      <c r="AF153" s="267"/>
    </row>
    <row r="154" spans="1:32" s="5" customFormat="1" ht="12.6" customHeight="1">
      <c r="A154" s="421"/>
      <c r="B154" s="267"/>
      <c r="C154" s="680"/>
      <c r="D154" s="680"/>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267"/>
      <c r="AC154" s="267"/>
      <c r="AD154" s="267"/>
      <c r="AE154" s="267"/>
      <c r="AF154" s="267"/>
    </row>
    <row r="155" spans="1:32" s="5" customFormat="1" ht="12.6" customHeight="1">
      <c r="A155" s="421"/>
      <c r="B155" s="267"/>
      <c r="C155" s="680"/>
      <c r="D155" s="680"/>
      <c r="E155" s="680"/>
      <c r="F155" s="680"/>
      <c r="G155" s="680"/>
      <c r="H155" s="680"/>
      <c r="I155" s="680"/>
      <c r="J155" s="680"/>
      <c r="K155" s="680"/>
      <c r="L155" s="680"/>
      <c r="M155" s="680"/>
      <c r="N155" s="680"/>
      <c r="O155" s="680"/>
      <c r="P155" s="680"/>
      <c r="Q155" s="680"/>
      <c r="R155" s="680"/>
      <c r="S155" s="680"/>
      <c r="T155" s="680"/>
      <c r="U155" s="680"/>
      <c r="V155" s="680"/>
      <c r="W155" s="680"/>
      <c r="X155" s="680"/>
      <c r="Y155" s="680"/>
      <c r="Z155" s="680"/>
      <c r="AA155" s="680"/>
      <c r="AB155" s="267"/>
      <c r="AC155" s="267"/>
      <c r="AD155" s="267"/>
      <c r="AE155" s="267"/>
      <c r="AF155" s="267"/>
    </row>
    <row r="156" spans="1:32" s="5" customFormat="1" ht="12.6" customHeight="1">
      <c r="A156" s="421"/>
      <c r="B156" s="267"/>
      <c r="C156" s="680"/>
      <c r="D156" s="680"/>
      <c r="E156" s="680"/>
      <c r="F156" s="680"/>
      <c r="G156" s="680"/>
      <c r="H156" s="680"/>
      <c r="I156" s="680"/>
      <c r="J156" s="680"/>
      <c r="K156" s="680"/>
      <c r="L156" s="680"/>
      <c r="M156" s="680"/>
      <c r="N156" s="680"/>
      <c r="O156" s="680"/>
      <c r="P156" s="680"/>
      <c r="Q156" s="680"/>
      <c r="R156" s="680"/>
      <c r="S156" s="680"/>
      <c r="T156" s="680"/>
      <c r="U156" s="680"/>
      <c r="V156" s="680"/>
      <c r="W156" s="680"/>
      <c r="X156" s="680"/>
      <c r="Y156" s="680"/>
      <c r="Z156" s="680"/>
      <c r="AA156" s="680"/>
      <c r="AB156" s="267"/>
      <c r="AC156" s="267"/>
      <c r="AD156" s="267"/>
      <c r="AE156" s="267"/>
      <c r="AF156" s="267"/>
    </row>
    <row r="157" spans="1:32" s="5" customFormat="1" ht="12.6" customHeight="1">
      <c r="A157" s="421"/>
      <c r="B157" s="267"/>
      <c r="C157" s="680"/>
      <c r="D157" s="680"/>
      <c r="E157" s="680"/>
      <c r="F157" s="680"/>
      <c r="G157" s="680"/>
      <c r="H157" s="680"/>
      <c r="I157" s="680"/>
      <c r="J157" s="680"/>
      <c r="K157" s="680"/>
      <c r="L157" s="680"/>
      <c r="M157" s="680"/>
      <c r="N157" s="680"/>
      <c r="O157" s="680"/>
      <c r="P157" s="680"/>
      <c r="Q157" s="680"/>
      <c r="R157" s="680"/>
      <c r="S157" s="680"/>
      <c r="T157" s="680"/>
      <c r="U157" s="680"/>
      <c r="V157" s="680"/>
      <c r="W157" s="680"/>
      <c r="X157" s="680"/>
      <c r="Y157" s="680"/>
      <c r="Z157" s="680"/>
      <c r="AA157" s="680"/>
      <c r="AB157" s="267"/>
      <c r="AC157" s="267"/>
      <c r="AD157" s="267"/>
      <c r="AE157" s="267"/>
      <c r="AF157" s="267"/>
    </row>
    <row r="158" spans="1:32" s="5" customFormat="1" ht="12.6" customHeight="1">
      <c r="A158" s="421"/>
      <c r="B158" s="267"/>
      <c r="C158" s="680"/>
      <c r="D158" s="680"/>
      <c r="E158" s="680"/>
      <c r="F158" s="680"/>
      <c r="G158" s="680"/>
      <c r="H158" s="680"/>
      <c r="I158" s="680"/>
      <c r="J158" s="680"/>
      <c r="K158" s="680"/>
      <c r="L158" s="680"/>
      <c r="M158" s="680"/>
      <c r="N158" s="680"/>
      <c r="O158" s="680"/>
      <c r="P158" s="680"/>
      <c r="Q158" s="680"/>
      <c r="R158" s="680"/>
      <c r="S158" s="680"/>
      <c r="T158" s="680"/>
      <c r="U158" s="680"/>
      <c r="V158" s="680"/>
      <c r="W158" s="680"/>
      <c r="X158" s="680"/>
      <c r="Y158" s="680"/>
      <c r="Z158" s="680"/>
      <c r="AA158" s="680"/>
      <c r="AB158" s="267"/>
      <c r="AC158" s="267"/>
      <c r="AD158" s="267"/>
      <c r="AE158" s="267"/>
      <c r="AF158" s="267"/>
    </row>
    <row r="164" spans="1:228" s="3" customFormat="1" ht="12.6" customHeight="1">
      <c r="A164" s="281"/>
      <c r="B164" s="258"/>
      <c r="C164" s="266"/>
      <c r="D164" s="266"/>
      <c r="E164" s="266"/>
      <c r="F164" s="266"/>
      <c r="G164" s="266"/>
      <c r="H164" s="266"/>
      <c r="I164" s="266"/>
      <c r="J164" s="266"/>
      <c r="K164" s="266"/>
      <c r="L164" s="266"/>
      <c r="M164" s="266"/>
      <c r="N164" s="266"/>
      <c r="O164" s="266"/>
      <c r="P164" s="266"/>
      <c r="Q164" s="266"/>
      <c r="R164" s="266"/>
      <c r="S164" s="266"/>
      <c r="T164" s="266"/>
      <c r="U164" s="266"/>
      <c r="V164" s="266"/>
      <c r="W164" s="266"/>
      <c r="X164" s="266"/>
      <c r="Y164" s="266"/>
      <c r="Z164" s="266"/>
      <c r="AA164" s="266"/>
      <c r="AB164" s="257"/>
      <c r="AC164" s="257"/>
      <c r="AD164" s="257"/>
      <c r="AE164" s="257"/>
      <c r="AF164" s="257"/>
    </row>
    <row r="165" spans="1:228" s="3" customFormat="1" ht="12.6" customHeight="1">
      <c r="A165" s="421"/>
      <c r="B165" s="257"/>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c r="Z165" s="267"/>
      <c r="AA165" s="267"/>
      <c r="AB165" s="267"/>
      <c r="AC165" s="267"/>
      <c r="AD165" s="267"/>
      <c r="AE165" s="267"/>
      <c r="AF165" s="267"/>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row>
    <row r="168" spans="1:228" ht="12.6" customHeight="1"/>
    <row r="179" ht="12.6" customHeight="1"/>
  </sheetData>
  <customSheetViews>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1"/>
      <headerFooter alignWithMargins="0">
        <oddFooter>&amp;L&amp;D &amp;T&amp;RO:\Naes\GenSvcs\TVA\TVA Model\&amp;F
&amp;A &amp;P</oddFooter>
      </headerFooter>
    </customSheetView>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2"/>
      <headerFooter alignWithMargins="0">
        <oddFooter>&amp;L&amp;D &amp;T&amp;RO:\Naes\GenSvcs\TVA\TVA Model\&amp;F
&amp;A &amp;P</oddFooter>
      </headerFooter>
    </customSheetView>
  </customSheetViews>
  <pageMargins left="0.25" right="0.25" top="0.25" bottom="0.5" header="0" footer="0"/>
  <pageSetup scale="42" orientation="landscape" r:id="rId3"/>
  <headerFooter alignWithMargins="0">
    <oddFooter>&amp;L&amp;D   &amp;T&amp;R&amp;F
&amp;A &amp;P</oddFooter>
  </headerFooter>
  <colBreaks count="1" manualBreakCount="1">
    <brk id="14" max="4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93"/>
  <sheetViews>
    <sheetView topLeftCell="A44" zoomScale="75" zoomScaleNormal="75" zoomScaleSheetLayoutView="85" workbookViewId="0">
      <selection activeCell="D75" sqref="D75:X75"/>
    </sheetView>
  </sheetViews>
  <sheetFormatPr defaultColWidth="9.28515625" defaultRowHeight="12.6" customHeight="1"/>
  <cols>
    <col min="1" max="1" width="9.140625" style="1" customWidth="1"/>
    <col min="2" max="2" width="28.140625" style="257" customWidth="1"/>
    <col min="3" max="3" width="8.28515625" style="257" customWidth="1"/>
    <col min="4" max="4" width="11.7109375" style="257" bestFit="1" customWidth="1"/>
    <col min="5" max="7" width="10" style="257" customWidth="1"/>
    <col min="8" max="8" width="10.28515625" style="257" customWidth="1"/>
    <col min="9" max="9" width="10" style="257" customWidth="1"/>
    <col min="10" max="10" width="10.42578125" style="257" bestFit="1" customWidth="1"/>
    <col min="11" max="11" width="10.42578125" style="257" customWidth="1"/>
    <col min="12" max="14" width="10" style="257" customWidth="1"/>
    <col min="15" max="15" width="9.85546875" style="257" customWidth="1"/>
    <col min="16" max="16" width="10.42578125" style="257" bestFit="1" customWidth="1"/>
    <col min="17" max="17" width="10" style="257" customWidth="1"/>
    <col min="18" max="18" width="10.42578125" style="257" customWidth="1"/>
    <col min="19" max="19" width="10" style="257" customWidth="1"/>
    <col min="20" max="21" width="10.28515625" style="257" customWidth="1"/>
    <col min="22" max="22" width="10" style="257" customWidth="1"/>
    <col min="23" max="23" width="9.85546875" style="257" customWidth="1"/>
    <col min="24" max="24" width="10.85546875" style="257" customWidth="1"/>
    <col min="25" max="27" width="7.140625" style="257" customWidth="1"/>
    <col min="28" max="28" width="9.28515625" style="257" customWidth="1"/>
    <col min="29" max="30" width="9.28515625" style="1" bestFit="1" customWidth="1"/>
    <col min="31" max="31" width="9.7109375" customWidth="1"/>
    <col min="32" max="32" width="10.7109375" style="1" customWidth="1"/>
    <col min="33" max="33" width="9.28515625" style="1" bestFit="1" customWidth="1"/>
    <col min="34" max="16384" width="9.28515625" style="1"/>
  </cols>
  <sheetData>
    <row r="1" spans="1:53" ht="20.25">
      <c r="B1" s="501" t="str">
        <f>'Project Assumptions'!$A$2</f>
        <v>GLEASON, TN</v>
      </c>
      <c r="C1" s="502"/>
      <c r="AD1" s="6"/>
    </row>
    <row r="2" spans="1:53" ht="15.6" customHeight="1">
      <c r="B2" s="503" t="s">
        <v>37</v>
      </c>
      <c r="C2" s="504"/>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D2" s="6"/>
    </row>
    <row r="3" spans="1:53" ht="12.6" customHeight="1">
      <c r="B3" s="418"/>
      <c r="C3" s="247"/>
      <c r="D3" s="257">
        <v>1</v>
      </c>
      <c r="E3" s="257">
        <f>D3+1</f>
        <v>2</v>
      </c>
      <c r="F3" s="257">
        <f t="shared" ref="F3:AB3" si="0">E3+1</f>
        <v>3</v>
      </c>
      <c r="G3" s="257">
        <f t="shared" si="0"/>
        <v>4</v>
      </c>
      <c r="H3" s="257">
        <f t="shared" si="0"/>
        <v>5</v>
      </c>
      <c r="I3" s="257">
        <f t="shared" si="0"/>
        <v>6</v>
      </c>
      <c r="J3" s="257">
        <f t="shared" si="0"/>
        <v>7</v>
      </c>
      <c r="K3" s="257">
        <f t="shared" si="0"/>
        <v>8</v>
      </c>
      <c r="L3" s="257">
        <f t="shared" si="0"/>
        <v>9</v>
      </c>
      <c r="M3" s="257">
        <f t="shared" si="0"/>
        <v>10</v>
      </c>
      <c r="N3" s="257">
        <f t="shared" si="0"/>
        <v>11</v>
      </c>
      <c r="O3" s="257">
        <f t="shared" si="0"/>
        <v>12</v>
      </c>
      <c r="P3" s="257">
        <f t="shared" si="0"/>
        <v>13</v>
      </c>
      <c r="Q3" s="257">
        <f t="shared" si="0"/>
        <v>14</v>
      </c>
      <c r="R3" s="257">
        <f t="shared" si="0"/>
        <v>15</v>
      </c>
      <c r="S3" s="257">
        <f t="shared" si="0"/>
        <v>16</v>
      </c>
      <c r="T3" s="257">
        <f t="shared" si="0"/>
        <v>17</v>
      </c>
      <c r="U3" s="257">
        <f t="shared" si="0"/>
        <v>18</v>
      </c>
      <c r="V3" s="257">
        <f t="shared" si="0"/>
        <v>19</v>
      </c>
      <c r="W3" s="257">
        <f t="shared" si="0"/>
        <v>20</v>
      </c>
      <c r="X3" s="257">
        <f t="shared" si="0"/>
        <v>21</v>
      </c>
      <c r="Y3" s="257">
        <f t="shared" si="0"/>
        <v>22</v>
      </c>
      <c r="Z3" s="257">
        <f t="shared" si="0"/>
        <v>23</v>
      </c>
      <c r="AA3" s="257">
        <f t="shared" si="0"/>
        <v>24</v>
      </c>
      <c r="AB3" s="257">
        <f t="shared" si="0"/>
        <v>25</v>
      </c>
      <c r="AD3" s="6"/>
    </row>
    <row r="4" spans="1:53" ht="12.6" customHeight="1">
      <c r="B4" s="436"/>
      <c r="C4" s="437"/>
      <c r="D4" s="505">
        <f>YEAR(StartDate)</f>
        <v>2000</v>
      </c>
      <c r="E4" s="505">
        <f>D4+1</f>
        <v>2001</v>
      </c>
      <c r="F4" s="505">
        <f t="shared" ref="F4:AB4" si="1">E4+1</f>
        <v>2002</v>
      </c>
      <c r="G4" s="505">
        <f t="shared" si="1"/>
        <v>2003</v>
      </c>
      <c r="H4" s="505">
        <f t="shared" si="1"/>
        <v>2004</v>
      </c>
      <c r="I4" s="505">
        <f t="shared" si="1"/>
        <v>2005</v>
      </c>
      <c r="J4" s="505">
        <f t="shared" si="1"/>
        <v>2006</v>
      </c>
      <c r="K4" s="505">
        <f t="shared" si="1"/>
        <v>2007</v>
      </c>
      <c r="L4" s="505">
        <f t="shared" si="1"/>
        <v>2008</v>
      </c>
      <c r="M4" s="505">
        <f t="shared" si="1"/>
        <v>2009</v>
      </c>
      <c r="N4" s="505">
        <f t="shared" si="1"/>
        <v>2010</v>
      </c>
      <c r="O4" s="505">
        <f t="shared" si="1"/>
        <v>2011</v>
      </c>
      <c r="P4" s="505">
        <f t="shared" si="1"/>
        <v>2012</v>
      </c>
      <c r="Q4" s="505">
        <f t="shared" si="1"/>
        <v>2013</v>
      </c>
      <c r="R4" s="505">
        <f t="shared" si="1"/>
        <v>2014</v>
      </c>
      <c r="S4" s="505">
        <f t="shared" si="1"/>
        <v>2015</v>
      </c>
      <c r="T4" s="505">
        <f t="shared" si="1"/>
        <v>2016</v>
      </c>
      <c r="U4" s="505">
        <f t="shared" si="1"/>
        <v>2017</v>
      </c>
      <c r="V4" s="505">
        <f t="shared" si="1"/>
        <v>2018</v>
      </c>
      <c r="W4" s="505">
        <f t="shared" si="1"/>
        <v>2019</v>
      </c>
      <c r="X4" s="505">
        <f t="shared" si="1"/>
        <v>2020</v>
      </c>
      <c r="Y4" s="505">
        <f t="shared" si="1"/>
        <v>2021</v>
      </c>
      <c r="Z4" s="505">
        <f t="shared" si="1"/>
        <v>2022</v>
      </c>
      <c r="AA4" s="505">
        <f t="shared" si="1"/>
        <v>2023</v>
      </c>
      <c r="AB4" s="506">
        <f t="shared" si="1"/>
        <v>2024</v>
      </c>
      <c r="AC4" s="32"/>
      <c r="AD4" s="32"/>
      <c r="AF4" s="32"/>
      <c r="AG4" s="32"/>
      <c r="AH4" s="32"/>
      <c r="AI4" s="32"/>
      <c r="AJ4" s="32"/>
      <c r="AK4" s="32"/>
      <c r="AL4" s="32"/>
      <c r="AM4" s="32"/>
      <c r="AN4" s="32"/>
      <c r="AO4" s="32"/>
      <c r="AP4" s="32"/>
      <c r="AQ4" s="32"/>
      <c r="AR4" s="32"/>
      <c r="AS4" s="32"/>
      <c r="AT4" s="32"/>
      <c r="AU4" s="32"/>
      <c r="AV4" s="32"/>
      <c r="AW4" s="32"/>
      <c r="AX4" s="32"/>
      <c r="AY4" s="32"/>
      <c r="AZ4" s="32"/>
      <c r="BA4" s="32"/>
    </row>
    <row r="5" spans="1:53" ht="12.6" customHeight="1">
      <c r="B5" s="438" t="str">
        <f>'PPA Assumptions &amp;Summary'!A5</f>
        <v>Months of Operation</v>
      </c>
      <c r="C5" s="425"/>
      <c r="D5" s="439">
        <f>'PPA Assumptions &amp;Summary'!C5</f>
        <v>7</v>
      </c>
      <c r="E5" s="439">
        <f>'PPA Assumptions &amp;Summary'!D5</f>
        <v>12</v>
      </c>
      <c r="F5" s="439">
        <f>'PPA Assumptions &amp;Summary'!E5</f>
        <v>12</v>
      </c>
      <c r="G5" s="439">
        <f>'PPA Assumptions &amp;Summary'!F5</f>
        <v>12</v>
      </c>
      <c r="H5" s="439">
        <f>'PPA Assumptions &amp;Summary'!G5</f>
        <v>12</v>
      </c>
      <c r="I5" s="439">
        <f>'PPA Assumptions &amp;Summary'!H5</f>
        <v>12</v>
      </c>
      <c r="J5" s="439">
        <f>'PPA Assumptions &amp;Summary'!I5</f>
        <v>12</v>
      </c>
      <c r="K5" s="439">
        <f>'PPA Assumptions &amp;Summary'!J5</f>
        <v>12</v>
      </c>
      <c r="L5" s="439">
        <f>'PPA Assumptions &amp;Summary'!K5</f>
        <v>12</v>
      </c>
      <c r="M5" s="439">
        <f>'PPA Assumptions &amp;Summary'!L5</f>
        <v>12</v>
      </c>
      <c r="N5" s="439">
        <f>'PPA Assumptions &amp;Summary'!M5</f>
        <v>12</v>
      </c>
      <c r="O5" s="439">
        <f>'PPA Assumptions &amp;Summary'!N5</f>
        <v>12</v>
      </c>
      <c r="P5" s="439">
        <f>'PPA Assumptions &amp;Summary'!O5</f>
        <v>12</v>
      </c>
      <c r="Q5" s="439">
        <f>'PPA Assumptions &amp;Summary'!P5</f>
        <v>12</v>
      </c>
      <c r="R5" s="439">
        <f>'PPA Assumptions &amp;Summary'!Q5</f>
        <v>12</v>
      </c>
      <c r="S5" s="439">
        <f>'PPA Assumptions &amp;Summary'!R5</f>
        <v>12</v>
      </c>
      <c r="T5" s="439">
        <f>'PPA Assumptions &amp;Summary'!S5</f>
        <v>12</v>
      </c>
      <c r="U5" s="439">
        <f>'PPA Assumptions &amp;Summary'!T5</f>
        <v>12</v>
      </c>
      <c r="V5" s="439">
        <f>'PPA Assumptions &amp;Summary'!U5</f>
        <v>12</v>
      </c>
      <c r="W5" s="439">
        <f>'PPA Assumptions &amp;Summary'!V5</f>
        <v>12</v>
      </c>
      <c r="X5" s="439">
        <f>'PPA Assumptions &amp;Summary'!W5</f>
        <v>5</v>
      </c>
      <c r="Y5" s="439">
        <f>'PPA Assumptions &amp;Summary'!X5</f>
        <v>0</v>
      </c>
      <c r="Z5" s="439">
        <f>'PPA Assumptions &amp;Summary'!Y5</f>
        <v>0</v>
      </c>
      <c r="AA5" s="439">
        <f>'PPA Assumptions &amp;Summary'!Z5</f>
        <v>0</v>
      </c>
      <c r="AB5" s="440">
        <f>'PPA Assumptions &amp;Summary'!AA5</f>
        <v>0</v>
      </c>
      <c r="AD5" s="6"/>
    </row>
    <row r="6" spans="1:53" ht="12.6" customHeight="1">
      <c r="B6" s="438" t="str">
        <f>'PPA Assumptions &amp;Summary'!A6</f>
        <v>Months of Year Under PPA</v>
      </c>
      <c r="C6" s="425"/>
      <c r="D6" s="439">
        <f>'PPA Assumptions &amp;Summary'!C6</f>
        <v>7</v>
      </c>
      <c r="E6" s="439">
        <f>'PPA Assumptions &amp;Summary'!D6</f>
        <v>12</v>
      </c>
      <c r="F6" s="439">
        <f>'PPA Assumptions &amp;Summary'!E6</f>
        <v>12</v>
      </c>
      <c r="G6" s="439">
        <f>'PPA Assumptions &amp;Summary'!F6</f>
        <v>5</v>
      </c>
      <c r="H6" s="439">
        <f>'PPA Assumptions &amp;Summary'!G6</f>
        <v>0</v>
      </c>
      <c r="I6" s="439">
        <f>'PPA Assumptions &amp;Summary'!H6</f>
        <v>0</v>
      </c>
      <c r="J6" s="439">
        <f>'PPA Assumptions &amp;Summary'!I6</f>
        <v>0</v>
      </c>
      <c r="K6" s="439">
        <f>'PPA Assumptions &amp;Summary'!J6</f>
        <v>0</v>
      </c>
      <c r="L6" s="439">
        <f>'PPA Assumptions &amp;Summary'!K6</f>
        <v>0</v>
      </c>
      <c r="M6" s="439">
        <f>'PPA Assumptions &amp;Summary'!L6</f>
        <v>0</v>
      </c>
      <c r="N6" s="439">
        <f>'PPA Assumptions &amp;Summary'!M6</f>
        <v>0</v>
      </c>
      <c r="O6" s="439">
        <f>'PPA Assumptions &amp;Summary'!N6</f>
        <v>0</v>
      </c>
      <c r="P6" s="439">
        <f>'PPA Assumptions &amp;Summary'!O6</f>
        <v>0</v>
      </c>
      <c r="Q6" s="439">
        <f>'PPA Assumptions &amp;Summary'!P6</f>
        <v>0</v>
      </c>
      <c r="R6" s="439">
        <f>'PPA Assumptions &amp;Summary'!Q6</f>
        <v>0</v>
      </c>
      <c r="S6" s="439">
        <f>'PPA Assumptions &amp;Summary'!R6</f>
        <v>0</v>
      </c>
      <c r="T6" s="439">
        <f>'PPA Assumptions &amp;Summary'!S6</f>
        <v>0</v>
      </c>
      <c r="U6" s="439">
        <f>'PPA Assumptions &amp;Summary'!T6</f>
        <v>0</v>
      </c>
      <c r="V6" s="439">
        <f>'PPA Assumptions &amp;Summary'!U6</f>
        <v>0</v>
      </c>
      <c r="W6" s="439">
        <f>'PPA Assumptions &amp;Summary'!V6</f>
        <v>0</v>
      </c>
      <c r="X6" s="439">
        <f>'PPA Assumptions &amp;Summary'!W6</f>
        <v>0</v>
      </c>
      <c r="Y6" s="439">
        <f>'PPA Assumptions &amp;Summary'!X6</f>
        <v>0</v>
      </c>
      <c r="Z6" s="439">
        <f>'PPA Assumptions &amp;Summary'!Y6</f>
        <v>0</v>
      </c>
      <c r="AA6" s="439">
        <f>'PPA Assumptions &amp;Summary'!Z6</f>
        <v>0</v>
      </c>
      <c r="AB6" s="440">
        <f>'PPA Assumptions &amp;Summary'!AA6</f>
        <v>0</v>
      </c>
      <c r="AD6" s="6"/>
    </row>
    <row r="7" spans="1:53" s="4" customFormat="1" ht="12.6" customHeight="1">
      <c r="B7" s="441" t="str">
        <f>'PPA Assumptions &amp;Summary'!A7</f>
        <v>Months of Year Merchant</v>
      </c>
      <c r="C7" s="442"/>
      <c r="D7" s="443">
        <f>'PPA Assumptions &amp;Summary'!C7</f>
        <v>0</v>
      </c>
      <c r="E7" s="443">
        <f>'PPA Assumptions &amp;Summary'!D7</f>
        <v>0</v>
      </c>
      <c r="F7" s="443">
        <f>'PPA Assumptions &amp;Summary'!E7</f>
        <v>0</v>
      </c>
      <c r="G7" s="443">
        <f>'PPA Assumptions &amp;Summary'!F7</f>
        <v>7</v>
      </c>
      <c r="H7" s="443">
        <f>'PPA Assumptions &amp;Summary'!G7</f>
        <v>12</v>
      </c>
      <c r="I7" s="443">
        <f>'PPA Assumptions &amp;Summary'!H7</f>
        <v>12</v>
      </c>
      <c r="J7" s="443">
        <f>'PPA Assumptions &amp;Summary'!I7</f>
        <v>12</v>
      </c>
      <c r="K7" s="443">
        <f>'PPA Assumptions &amp;Summary'!J7</f>
        <v>12</v>
      </c>
      <c r="L7" s="443">
        <f>'PPA Assumptions &amp;Summary'!K7</f>
        <v>12</v>
      </c>
      <c r="M7" s="443">
        <f>'PPA Assumptions &amp;Summary'!L7</f>
        <v>12</v>
      </c>
      <c r="N7" s="443">
        <f>'PPA Assumptions &amp;Summary'!M7</f>
        <v>12</v>
      </c>
      <c r="O7" s="443">
        <f>'PPA Assumptions &amp;Summary'!N7</f>
        <v>12</v>
      </c>
      <c r="P7" s="443">
        <f>'PPA Assumptions &amp;Summary'!O7</f>
        <v>12</v>
      </c>
      <c r="Q7" s="443">
        <f>'PPA Assumptions &amp;Summary'!P7</f>
        <v>12</v>
      </c>
      <c r="R7" s="443">
        <f>'PPA Assumptions &amp;Summary'!Q7</f>
        <v>12</v>
      </c>
      <c r="S7" s="443">
        <f>'PPA Assumptions &amp;Summary'!R7</f>
        <v>12</v>
      </c>
      <c r="T7" s="443">
        <f>'PPA Assumptions &amp;Summary'!S7</f>
        <v>12</v>
      </c>
      <c r="U7" s="443">
        <f>'PPA Assumptions &amp;Summary'!T7</f>
        <v>12</v>
      </c>
      <c r="V7" s="443">
        <f>'PPA Assumptions &amp;Summary'!U7</f>
        <v>12</v>
      </c>
      <c r="W7" s="443">
        <f>'PPA Assumptions &amp;Summary'!V7</f>
        <v>12</v>
      </c>
      <c r="X7" s="443">
        <f>'PPA Assumptions &amp;Summary'!W7</f>
        <v>5</v>
      </c>
      <c r="Y7" s="443">
        <f>'PPA Assumptions &amp;Summary'!X7</f>
        <v>0</v>
      </c>
      <c r="Z7" s="443">
        <f>'PPA Assumptions &amp;Summary'!Y7</f>
        <v>0</v>
      </c>
      <c r="AA7" s="443">
        <f>'PPA Assumptions &amp;Summary'!Z7</f>
        <v>0</v>
      </c>
      <c r="AB7" s="444">
        <f>'PPA Assumptions &amp;Summary'!AA7</f>
        <v>0</v>
      </c>
      <c r="AD7" s="6"/>
      <c r="AE7"/>
    </row>
    <row r="8" spans="1:53" s="4" customFormat="1" ht="12.6" customHeight="1">
      <c r="B8" s="281"/>
      <c r="C8" s="267"/>
      <c r="D8" s="419"/>
      <c r="E8" s="419"/>
      <c r="F8" s="419"/>
      <c r="G8" s="419"/>
      <c r="H8" s="419"/>
      <c r="I8" s="419"/>
      <c r="J8" s="419"/>
      <c r="K8" s="419"/>
      <c r="L8" s="419"/>
      <c r="M8" s="419"/>
      <c r="N8" s="419"/>
      <c r="O8" s="419"/>
      <c r="P8" s="419"/>
      <c r="Q8" s="419"/>
      <c r="R8" s="419"/>
      <c r="S8" s="419"/>
      <c r="T8" s="419"/>
      <c r="U8" s="419"/>
      <c r="V8" s="419"/>
      <c r="W8" s="419"/>
      <c r="X8" s="419"/>
      <c r="Y8" s="419"/>
      <c r="Z8" s="419"/>
      <c r="AA8" s="419"/>
      <c r="AB8" s="419"/>
      <c r="AD8" s="6"/>
      <c r="AE8"/>
    </row>
    <row r="9" spans="1:53" s="4" customFormat="1" ht="12.6" customHeight="1">
      <c r="B9" s="445" t="s">
        <v>435</v>
      </c>
      <c r="C9" s="446"/>
      <c r="D9" s="437"/>
      <c r="E9" s="437"/>
      <c r="F9" s="447"/>
      <c r="G9" s="447"/>
      <c r="H9" s="447"/>
      <c r="I9" s="447"/>
      <c r="J9" s="447"/>
      <c r="K9" s="447"/>
      <c r="L9" s="447"/>
      <c r="M9" s="447"/>
      <c r="N9" s="447"/>
      <c r="O9" s="447"/>
      <c r="P9" s="447"/>
      <c r="Q9" s="447"/>
      <c r="R9" s="447"/>
      <c r="S9" s="447"/>
      <c r="T9" s="447"/>
      <c r="U9" s="447"/>
      <c r="V9" s="447"/>
      <c r="W9" s="447"/>
      <c r="X9" s="447"/>
      <c r="Y9" s="447"/>
      <c r="Z9" s="447"/>
      <c r="AA9" s="447"/>
      <c r="AB9" s="448"/>
      <c r="AD9" s="6"/>
      <c r="AE9"/>
    </row>
    <row r="10" spans="1:53" s="4" customFormat="1" ht="12.6" customHeight="1">
      <c r="B10" s="449" t="s">
        <v>350</v>
      </c>
      <c r="C10" s="425"/>
      <c r="D10" s="454">
        <f>(Operations!C25+Operations!C27)*'PPA Assumptions &amp;Summary'!C11/1000+'Tax Calculations'!D66</f>
        <v>16697.354376946343</v>
      </c>
      <c r="E10" s="454">
        <f>(Operations!D25+Operations!D27)*'PPA Assumptions &amp;Summary'!D11/1000+'Tax Calculations'!E66</f>
        <v>16703.371147527432</v>
      </c>
      <c r="F10" s="454">
        <f>(Operations!E25+Operations!E27)*'PPA Assumptions &amp;Summary'!E11/1000+'Tax Calculations'!F66</f>
        <v>16703.664842323986</v>
      </c>
      <c r="G10" s="454">
        <f>(Operations!F25+Operations!F27)*'PPA Assumptions &amp;Summary'!F11/1000+'Tax Calculations'!G66</f>
        <v>17066.364663683875</v>
      </c>
      <c r="H10" s="454">
        <f>(Operations!G25+Operations!G27)*'PPA Assumptions &amp;Summary'!G11/1000+'Tax Calculations'!H66</f>
        <v>17182.539304520589</v>
      </c>
      <c r="I10" s="454">
        <f>(Operations!H25+Operations!H27)*'PPA Assumptions &amp;Summary'!H11/1000+'Tax Calculations'!I66</f>
        <v>17182.457552496937</v>
      </c>
      <c r="J10" s="454">
        <f>(Operations!I25+Operations!I27)*'PPA Assumptions &amp;Summary'!I11/1000+'Tax Calculations'!J66</f>
        <v>17182.508638963274</v>
      </c>
      <c r="K10" s="454">
        <f>(Operations!J25+Operations!J27)*'PPA Assumptions &amp;Summary'!J11/1000+'Tax Calculations'!K66</f>
        <v>17182.876529024103</v>
      </c>
      <c r="L10" s="454">
        <f>(Operations!K25+Operations!K27)*'PPA Assumptions &amp;Summary'!K11/1000+'Tax Calculations'!L66</f>
        <v>17183.255455786759</v>
      </c>
      <c r="M10" s="454">
        <f>(Operations!L25+Operations!L27)*'PPA Assumptions &amp;Summary'!L11/1000+'Tax Calculations'!M66</f>
        <v>17183.645750352291</v>
      </c>
      <c r="N10" s="454">
        <f>(Operations!M25+Operations!M27)*'PPA Assumptions &amp;Summary'!M11/1000+'Tax Calculations'!N66</f>
        <v>17184.047753754789</v>
      </c>
      <c r="O10" s="454">
        <f>(Operations!N25+Operations!N27)*'PPA Assumptions &amp;Summary'!N11/1000+'Tax Calculations'!O66</f>
        <v>17184.461817259362</v>
      </c>
      <c r="P10" s="454">
        <f>(Operations!O25+Operations!O27)*'PPA Assumptions &amp;Summary'!O11/1000+'Tax Calculations'!P66</f>
        <v>17184.888302669075</v>
      </c>
      <c r="Q10" s="454">
        <f>(Operations!P25+Operations!P27)*'PPA Assumptions &amp;Summary'!P11/1000+'Tax Calculations'!Q66</f>
        <v>17185.327582641075</v>
      </c>
      <c r="R10" s="454">
        <f>(Operations!Q25+Operations!Q27)*'PPA Assumptions &amp;Summary'!Q11/1000+'Tax Calculations'!R66</f>
        <v>17185.78004101224</v>
      </c>
      <c r="S10" s="454">
        <f>(Operations!R25+Operations!R27)*'PPA Assumptions &amp;Summary'!R11/1000+'Tax Calculations'!S66</f>
        <v>17186.246073134535</v>
      </c>
      <c r="T10" s="454">
        <f>(Operations!S25+Operations!S27)*'PPA Assumptions &amp;Summary'!S11/1000+'Tax Calculations'!T66</f>
        <v>17186.7260862205</v>
      </c>
      <c r="U10" s="454">
        <f>(Operations!T25+Operations!T27)*'PPA Assumptions &amp;Summary'!T11/1000+'Tax Calculations'!U66</f>
        <v>17187.220499699048</v>
      </c>
      <c r="V10" s="454">
        <f>(Operations!U25+Operations!U27)*'PPA Assumptions &amp;Summary'!U11/1000+'Tax Calculations'!V66</f>
        <v>17187.72974558195</v>
      </c>
      <c r="W10" s="454">
        <f>(Operations!V25+Operations!V27)*'PPA Assumptions &amp;Summary'!V11/1000+'Tax Calculations'!W66</f>
        <v>17188.254268841338</v>
      </c>
      <c r="X10" s="454">
        <f>(Operations!W25+Operations!W27)*'PPA Assumptions &amp;Summary'!W11/1000+'Tax Calculations'!X66</f>
        <v>17184.092931129428</v>
      </c>
      <c r="Y10" s="454">
        <f>(Operations!X25+Operations!X27)*'PPA Assumptions &amp;Summary'!X11/1000+'Tax Calculations'!Y66</f>
        <v>0</v>
      </c>
      <c r="Z10" s="454">
        <f>(Operations!Y25+Operations!Y27)*'PPA Assumptions &amp;Summary'!Y11/1000+'Tax Calculations'!Z66</f>
        <v>0</v>
      </c>
      <c r="AA10" s="454">
        <f>(Operations!Z25+Operations!Z27)*'PPA Assumptions &amp;Summary'!Z11/1000+'Tax Calculations'!AA66</f>
        <v>0</v>
      </c>
      <c r="AB10" s="454">
        <f>(Operations!AA25+Operations!AA27)*'PPA Assumptions &amp;Summary'!AA11/1000+'Tax Calculations'!AB66</f>
        <v>0</v>
      </c>
      <c r="AD10" s="6"/>
      <c r="AE10"/>
    </row>
    <row r="11" spans="1:53" ht="12.6" customHeight="1">
      <c r="A11" s="1">
        <v>1</v>
      </c>
      <c r="B11" s="452" t="s">
        <v>351</v>
      </c>
      <c r="C11" s="453"/>
      <c r="D11" s="454">
        <f>(PPACAPACITY*'Project Assumptions'!$I$29*D6)+((Operations!C17*(1-Cap_Factor_Energy))*'PPA Assumptions &amp;Summary'!C64*D7)</f>
        <v>14280</v>
      </c>
      <c r="E11" s="454">
        <f>(PPACAPACITY*'Project Assumptions'!$I$29*E6)+((Operations!D17*(1-Cap_Factor_Energy))*'PPA Assumptions &amp;Summary'!D64*E7)</f>
        <v>24480</v>
      </c>
      <c r="F11" s="454">
        <f>(PPACAPACITY*'Project Assumptions'!$I$29*F6)+((Operations!E17*(1-Cap_Factor_Energy))*'PPA Assumptions &amp;Summary'!E64*F7)</f>
        <v>24480</v>
      </c>
      <c r="G11" s="454">
        <f>(PPACAPACITY*'Project Assumptions'!$I$29*G6)+((Operations!F17*(1-Cap_Factor_Energy))*'PPA Assumptions &amp;Summary'!F64*G7)</f>
        <v>30711.826006152467</v>
      </c>
      <c r="H11" s="454">
        <f>(PPACAPACITY*'Project Assumptions'!$I$29*H6)+((Operations!G17*(1-Cap_Factor_Energy))*'PPA Assumptions &amp;Summary'!G64*H7)</f>
        <v>35604.159388112792</v>
      </c>
      <c r="I11" s="454">
        <f>(PPACAPACITY*'Project Assumptions'!$I$29*I6)+((Operations!H17*(1-Cap_Factor_Energy))*'PPA Assumptions &amp;Summary'!H64*I7)</f>
        <v>36040.003408208649</v>
      </c>
      <c r="J11" s="454">
        <f>(PPACAPACITY*'Project Assumptions'!$I$29*J6)+((Operations!I17*(1-Cap_Factor_Energy))*'PPA Assumptions &amp;Summary'!I64*J7)</f>
        <v>36469.954326060964</v>
      </c>
      <c r="K11" s="454">
        <f>(PPACAPACITY*'Project Assumptions'!$I$29*K6)+((Operations!J17*(1-Cap_Factor_Energy))*'PPA Assumptions &amp;Summary'!J64*K7)</f>
        <v>37564.052955842795</v>
      </c>
      <c r="L11" s="454">
        <f>(PPACAPACITY*'Project Assumptions'!$I$29*L6)+((Operations!K17*(1-Cap_Factor_Energy))*'PPA Assumptions &amp;Summary'!K64*L7)</f>
        <v>38000.064284794535</v>
      </c>
      <c r="M11" s="454">
        <f>(PPACAPACITY*'Project Assumptions'!$I$29*M6)+((Operations!L17*(1-Cap_Factor_Energy))*'PPA Assumptions &amp;Summary'!L64*M7)</f>
        <v>39140.066213338374</v>
      </c>
      <c r="N11" s="454">
        <f>(PPACAPACITY*'Project Assumptions'!$I$29*N6)+((Operations!M17*(1-Cap_Factor_Energy))*'PPA Assumptions &amp;Summary'!M64*N7)</f>
        <v>39581.281505197825</v>
      </c>
      <c r="O11" s="454">
        <f>(PPACAPACITY*'Project Assumptions'!$I$29*O6)+((Operations!N17*(1-Cap_Factor_Energy))*'PPA Assumptions &amp;Summary'!N64*O7)</f>
        <v>40768.719950353756</v>
      </c>
      <c r="P11" s="454">
        <f>(PPACAPACITY*'Project Assumptions'!$I$29*P6)+((Operations!O17*(1-Cap_Factor_Energy))*'PPA Assumptions &amp;Summary'!O64*P7)</f>
        <v>41214.155964626145</v>
      </c>
      <c r="Q11" s="454">
        <f>(PPACAPACITY*'Project Assumptions'!$I$29*Q6)+((Operations!P17*(1-Cap_Factor_Energy))*'PPA Assumptions &amp;Summary'!P64*Q7)</f>
        <v>41649.626291799548</v>
      </c>
      <c r="R11" s="454">
        <f>(PPACAPACITY*'Project Assumptions'!$I$29*R6)+((Operations!Q17*(1-Cap_Factor_Energy))*'PPA Assumptions &amp;Summary'!Q64*R7)</f>
        <v>42074.132098235197</v>
      </c>
      <c r="S11" s="454">
        <f>(PPACAPACITY*'Project Assumptions'!$I$29*S6)+((Operations!R17*(1-Cap_Factor_Energy))*'PPA Assumptions &amp;Summary'!R64*S7)</f>
        <v>42486.623589394367</v>
      </c>
      <c r="T11" s="454">
        <f>(PPACAPACITY*'Project Assumptions'!$I$29*T6)+((Operations!S17*(1-Cap_Factor_Energy))*'PPA Assumptions &amp;Summary'!S64*T7)</f>
        <v>42885.997851134671</v>
      </c>
      <c r="U11" s="454">
        <f>(PPACAPACITY*'Project Assumptions'!$I$29*U6)+((Operations!T17*(1-Cap_Factor_Energy))*'PPA Assumptions &amp;Summary'!T64*U7)</f>
        <v>43271.096607348947</v>
      </c>
      <c r="V11" s="454">
        <f>(PPACAPACITY*'Project Assumptions'!$I$29*V6)+((Operations!U17*(1-Cap_Factor_Energy))*'PPA Assumptions &amp;Summary'!U64*V7)</f>
        <v>43640.703890870049</v>
      </c>
      <c r="W11" s="454">
        <f>(PPACAPACITY*'Project Assumptions'!$I$29*W6)+((Operations!V17*(1-Cap_Factor_Energy))*'PPA Assumptions &amp;Summary'!V64*W7)</f>
        <v>43993.543624455793</v>
      </c>
      <c r="X11" s="454">
        <f>(PPACAPACITY*'Project Assumptions'!$I$29*X6)+((Operations!W17*(1-Cap_Factor_Energy))*'PPA Assumptions &amp;Summary'!W64*X7)</f>
        <v>18470.115461897884</v>
      </c>
      <c r="Y11" s="454">
        <f>(PPACAPACITY*'Project Assumptions'!$I$29*Y6)+((Operations!X17*(1-Cap_Factor_Energy))*'PPA Assumptions &amp;Summary'!X64*Y7)</f>
        <v>0</v>
      </c>
      <c r="Z11" s="454">
        <f>(PPACAPACITY*'Project Assumptions'!$I$29*Z6)+((Operations!Y17*(1-Cap_Factor_Energy))*'PPA Assumptions &amp;Summary'!Y64*Z7)</f>
        <v>0</v>
      </c>
      <c r="AA11" s="454">
        <f>(PPACAPACITY*'Project Assumptions'!$I$29*AA6)+((Operations!Z17*(1-Cap_Factor_Energy))*'PPA Assumptions &amp;Summary'!Z64*AA7)</f>
        <v>0</v>
      </c>
      <c r="AB11" s="454">
        <f>(PPACAPACITY*'Project Assumptions'!$I$29*AB6)+((Operations!AA17*(1-Cap_Factor_Energy))*'PPA Assumptions &amp;Summary'!AA64*AB7)</f>
        <v>0</v>
      </c>
    </row>
    <row r="12" spans="1:53" ht="12.6" customHeight="1">
      <c r="B12" s="452" t="s">
        <v>561</v>
      </c>
      <c r="C12" s="453"/>
      <c r="D12" s="454">
        <f>(Operations!C25+Operations!C27)*'PPA Assumptions &amp;Summary'!C24/1000</f>
        <v>767.01319000000001</v>
      </c>
      <c r="E12" s="454">
        <f>(Operations!D25+Operations!D27)*'PPA Assumptions &amp;Summary'!D24/1000</f>
        <v>790.02358570000001</v>
      </c>
      <c r="F12" s="454">
        <f>(Operations!E25+Operations!E27)*'PPA Assumptions &amp;Summary'!E24/1000</f>
        <v>813.72429327100008</v>
      </c>
      <c r="G12" s="454">
        <f>(Operations!F25+Operations!F27)*'PPA Assumptions &amp;Summary'!F24/1000</f>
        <v>856.31745435076664</v>
      </c>
      <c r="H12" s="454">
        <f>(Operations!G25+Operations!G27)*'PPA Assumptions &amp;Summary'!G24/1000</f>
        <v>887.98345531798645</v>
      </c>
      <c r="I12" s="454">
        <f>(Operations!H25+Operations!H27)*'PPA Assumptions &amp;Summary'!H24/1000</f>
        <v>914.62295897752608</v>
      </c>
      <c r="J12" s="454">
        <f>(Operations!I25+Operations!I27)*'PPA Assumptions &amp;Summary'!I24/1000</f>
        <v>942.06164774685192</v>
      </c>
      <c r="K12" s="454">
        <f>(Operations!J25+Operations!J27)*'PPA Assumptions &amp;Summary'!J24/1000</f>
        <v>970.32349717925729</v>
      </c>
      <c r="L12" s="454">
        <f>(Operations!K25+Operations!K27)*'PPA Assumptions &amp;Summary'!K24/1000</f>
        <v>999.43320209463513</v>
      </c>
      <c r="M12" s="454">
        <f>(Operations!L25+Operations!L27)*'PPA Assumptions &amp;Summary'!L24/1000</f>
        <v>1029.4161981574741</v>
      </c>
      <c r="N12" s="454">
        <f>(Operations!M25+Operations!M27)*'PPA Assumptions &amp;Summary'!M24/1000</f>
        <v>1060.2986841021984</v>
      </c>
      <c r="O12" s="454">
        <f>(Operations!N25+Operations!N27)*'PPA Assumptions &amp;Summary'!N24/1000</f>
        <v>1092.1076446252641</v>
      </c>
      <c r="P12" s="454">
        <f>(Operations!O25+Operations!O27)*'PPA Assumptions &amp;Summary'!O24/1000</f>
        <v>1124.8708739640222</v>
      </c>
      <c r="Q12" s="454">
        <f>(Operations!P25+Operations!P27)*'PPA Assumptions &amp;Summary'!P24/1000</f>
        <v>1158.617000182943</v>
      </c>
      <c r="R12" s="454">
        <f>(Operations!Q25+Operations!Q27)*'PPA Assumptions &amp;Summary'!Q24/1000</f>
        <v>1193.3755101884312</v>
      </c>
      <c r="S12" s="454">
        <f>(Operations!R25+Operations!R27)*'PPA Assumptions &amp;Summary'!R24/1000</f>
        <v>1229.1767754940838</v>
      </c>
      <c r="T12" s="454">
        <f>(Operations!S25+Operations!S27)*'PPA Assumptions &amp;Summary'!S24/1000</f>
        <v>1266.0520787589064</v>
      </c>
      <c r="U12" s="454">
        <f>(Operations!T25+Operations!T27)*'PPA Assumptions &amp;Summary'!T24/1000</f>
        <v>1304.0336411216736</v>
      </c>
      <c r="V12" s="454">
        <f>(Operations!U25+Operations!U27)*'PPA Assumptions &amp;Summary'!U24/1000</f>
        <v>1343.1546503553236</v>
      </c>
      <c r="W12" s="454">
        <f>(Operations!V25+Operations!V27)*'PPA Assumptions &amp;Summary'!V24/1000</f>
        <v>1383.4492898659837</v>
      </c>
      <c r="X12" s="454">
        <f>(Operations!W25+Operations!W27)*'PPA Assumptions &amp;Summary'!W24/1000</f>
        <v>1424.9527685619628</v>
      </c>
      <c r="Y12" s="454">
        <f>(Operations!X25+Operations!X27)*'PPA Assumptions &amp;Summary'!X24/1000</f>
        <v>0</v>
      </c>
      <c r="Z12" s="454">
        <f>(Operations!Y25+Operations!Y27)*'PPA Assumptions &amp;Summary'!Y24/1000</f>
        <v>0</v>
      </c>
      <c r="AA12" s="454">
        <f>(Operations!Z25+Operations!Z27)*'PPA Assumptions &amp;Summary'!Z24/1000</f>
        <v>0</v>
      </c>
      <c r="AB12" s="454">
        <f>(Operations!AA25+Operations!AA27)*'PPA Assumptions &amp;Summary'!AA24/1000</f>
        <v>0</v>
      </c>
    </row>
    <row r="13" spans="1:53" ht="12.6" customHeight="1">
      <c r="B13" s="449" t="s">
        <v>666</v>
      </c>
      <c r="C13" s="425"/>
      <c r="D13" s="454">
        <f>IF(D3&gt;ProjectLife+1,0,(Main_Start*'Project Assumptions'!$L$15*((1+Main_Escal)^(D4-'Project Assumptions'!$N$6))+Fuel_Start*'Project Assumptions'!$L$16)/1000)+((Main_Start*1/3)*'Project Assumptions'!$L$15*((1+Main_Escal)^(D4-'Project Assumptions'!$N$6))+Fuel_Start*'Project Assumptions'!$L$16)/1000*D7/12</f>
        <v>2365.3332</v>
      </c>
      <c r="E13" s="454">
        <f>IF(E3&gt;ProjectLife+1,0,(Main_Start*'Project Assumptions'!$L$15*((1+Main_Escal)^(E4-'Project Assumptions'!$N$6))+Fuel_Start*'Project Assumptions'!$L$16)/1000)*E6/12+((Main_Start*1/3)*'Project Assumptions'!$L$15*((1+Main_Escal)^(E4-'Project Assumptions'!$N$6))+Fuel_Start*'Project Assumptions'!$L$16)/1000*E7/12</f>
        <v>2436.2931960000001</v>
      </c>
      <c r="F13" s="454">
        <f>IF(F3&gt;ProjectLife+1,0,(Main_Start*'Project Assumptions'!$L$15*((1+Main_Escal)^(F4-'Project Assumptions'!$N$6))+Fuel_Start*'Project Assumptions'!$L$16)/1000)*F6/12+((Main_Start*1/3)*'Project Assumptions'!$L$15*((1+Main_Escal)^(F4-'Project Assumptions'!$N$6))+Fuel_Start*'Project Assumptions'!$L$16)/1000*F7/12</f>
        <v>2509.38199188</v>
      </c>
      <c r="G13" s="454">
        <f>IF(G3&gt;ProjectLife+1,0,(Main_Start*'Project Assumptions'!$L$15*((1+Main_Escal)^(G4-'Project Assumptions'!$N$6))+Fuel_Start*'Project Assumptions'!$L$16)/1000)*G6/12+((Main_Start*1/3)*'Project Assumptions'!$L$15*((1+Main_Escal)^(G4-'Project Assumptions'!$N$6))+Fuel_Start*'Project Assumptions'!$L$16)/1000*G7/12</f>
        <v>1579.5165537777998</v>
      </c>
      <c r="H13" s="454">
        <f>IF(H3&gt;ProjectLife+1,0,(Main_Start*'Project Assumptions'!$L$15*((1+Main_Escal)^(H4-'Project Assumptions'!$N$6))+Fuel_Start*'Project Assumptions'!$L$16)/1000)*H6/12+((Main_Start*1/3)*'Project Assumptions'!$L$15*((1+Main_Escal)^(H4-'Project Assumptions'!$N$6))+Fuel_Start*'Project Assumptions'!$L$16)/1000*H7/12</f>
        <v>887.40111839516396</v>
      </c>
      <c r="I13" s="454">
        <f>IF(I3&gt;ProjectLife+1,0,(Main_Start*'Project Assumptions'!$L$15*((1+Main_Escal)^(I4-'Project Assumptions'!$N$6))+Fuel_Start*'Project Assumptions'!$L$16)/1000)*I6/12+((Main_Start*1/3)*'Project Assumptions'!$L$15*((1+Main_Escal)^(I4-'Project Assumptions'!$N$6))+Fuel_Start*'Project Assumptions'!$L$16)/1000*I7/12</f>
        <v>914.02315194701885</v>
      </c>
      <c r="J13" s="454">
        <f>IF(J3&gt;ProjectLife+1,0,(Main_Start*'Project Assumptions'!$L$15*((1+Main_Escal)^(J4-'Project Assumptions'!$N$6))+Fuel_Start*'Project Assumptions'!$L$16)/1000)*J6/12+((Main_Start*1/3)*'Project Assumptions'!$L$15*((1+Main_Escal)^(J4-'Project Assumptions'!$N$6))+Fuel_Start*'Project Assumptions'!$L$16)/1000*J7/12</f>
        <v>941.44384650542952</v>
      </c>
      <c r="K13" s="454">
        <f>IF(K3&gt;ProjectLife+1,0,(Main_Start*'Project Assumptions'!$L$15*((1+Main_Escal)^(K4-'Project Assumptions'!$N$6))+Fuel_Start*'Project Assumptions'!$L$16)/1000)*K6/12+((Main_Start*1/3)*'Project Assumptions'!$L$15*((1+Main_Escal)^(K4-'Project Assumptions'!$N$6))+Fuel_Start*'Project Assumptions'!$L$16)/1000*K7/12</f>
        <v>969.68716190059229</v>
      </c>
      <c r="L13" s="454">
        <f>IF(L3&gt;ProjectLife+1,0,(Main_Start*'Project Assumptions'!$L$15*((1+Main_Escal)^(L4-'Project Assumptions'!$N$6))+Fuel_Start*'Project Assumptions'!$L$16)/1000)*L6/12+((Main_Start*1/3)*'Project Assumptions'!$L$15*((1+Main_Escal)^(L4-'Project Assumptions'!$N$6))+Fuel_Start*'Project Assumptions'!$L$16)/1000*L7/12</f>
        <v>998.77777675761001</v>
      </c>
      <c r="M13" s="454">
        <f>IF(M3&gt;ProjectLife+1,0,(Main_Start*'Project Assumptions'!$L$15*((1+Main_Escal)^(M4-'Project Assumptions'!$N$6))+Fuel_Start*'Project Assumptions'!$L$16)/1000)*M6/12+((Main_Start*1/3)*'Project Assumptions'!$L$15*((1+Main_Escal)^(M4-'Project Assumptions'!$N$6))+Fuel_Start*'Project Assumptions'!$L$16)/1000*M7/12</f>
        <v>1028.7411100603383</v>
      </c>
      <c r="N13" s="454">
        <f>IF(N3&gt;ProjectLife+1,0,(Main_Start*'Project Assumptions'!$L$15*((1+Main_Escal)^(N4-'Project Assumptions'!$N$6))+Fuel_Start*'Project Assumptions'!$L$16)/1000)*N6/12+((Main_Start*1/3)*'Project Assumptions'!$L$15*((1+Main_Escal)^(N4-'Project Assumptions'!$N$6))+Fuel_Start*'Project Assumptions'!$L$16)/1000*N7/12</f>
        <v>1059.6033433621485</v>
      </c>
      <c r="O13" s="454">
        <f>IF(O3&gt;ProjectLife+1,0,(Main_Start*'Project Assumptions'!$L$15*((1+Main_Escal)^(O4-'Project Assumptions'!$N$6))+Fuel_Start*'Project Assumptions'!$L$16)/1000)*O6/12+((Main_Start*1/3)*'Project Assumptions'!$L$15*((1+Main_Escal)^(O4-'Project Assumptions'!$N$6))+Fuel_Start*'Project Assumptions'!$L$16)/1000*O7/12</f>
        <v>1091.391443663013</v>
      </c>
      <c r="P13" s="454">
        <f>IF(P3&gt;ProjectLife+1,0,(Main_Start*'Project Assumptions'!$L$15*((1+Main_Escal)^(P4-'Project Assumptions'!$N$6))+Fuel_Start*'Project Assumptions'!$L$16)/1000)*P6/12+((Main_Start*1/3)*'Project Assumptions'!$L$15*((1+Main_Escal)^(P4-'Project Assumptions'!$N$6))+Fuel_Start*'Project Assumptions'!$L$16)/1000*P7/12</f>
        <v>1124.1331869729031</v>
      </c>
      <c r="Q13" s="454">
        <f>IF(Q3&gt;ProjectLife+1,0,(Main_Start*'Project Assumptions'!$L$15*((1+Main_Escal)^(Q4-'Project Assumptions'!$N$6))+Fuel_Start*'Project Assumptions'!$L$16)/1000)*Q6/12+((Main_Start*1/3)*'Project Assumptions'!$L$15*((1+Main_Escal)^(Q4-'Project Assumptions'!$N$6))+Fuel_Start*'Project Assumptions'!$L$16)/1000*Q7/12</f>
        <v>1157.8571825820904</v>
      </c>
      <c r="R13" s="454">
        <f>IF(R3&gt;ProjectLife+1,0,(Main_Start*'Project Assumptions'!$L$15*((1+Main_Escal)^(R4-'Project Assumptions'!$N$6))+Fuel_Start*'Project Assumptions'!$L$16)/1000)*R6/12+((Main_Start*1/3)*'Project Assumptions'!$L$15*((1+Main_Escal)^(R4-'Project Assumptions'!$N$6))+Fuel_Start*'Project Assumptions'!$L$16)/1000*R7/12</f>
        <v>1192.5928980595531</v>
      </c>
      <c r="S13" s="454">
        <f>IF(S3&gt;ProjectLife+1,0,(Main_Start*'Project Assumptions'!$L$15*((1+Main_Escal)^(S4-'Project Assumptions'!$N$6))+Fuel_Start*'Project Assumptions'!$L$16)/1000)*S6/12+((Main_Start*1/3)*'Project Assumptions'!$L$15*((1+Main_Escal)^(S4-'Project Assumptions'!$N$6))+Fuel_Start*'Project Assumptions'!$L$16)/1000*S7/12</f>
        <v>1228.3706850013396</v>
      </c>
      <c r="T13" s="454">
        <f>IF(T3&gt;ProjectLife+1,0,(Main_Start*'Project Assumptions'!$L$15*((1+Main_Escal)^(T4-'Project Assumptions'!$N$6))+Fuel_Start*'Project Assumptions'!$L$16)/1000)*T6/12+((Main_Start*1/3)*'Project Assumptions'!$L$15*((1+Main_Escal)^(T4-'Project Assumptions'!$N$6))+Fuel_Start*'Project Assumptions'!$L$16)/1000*T7/12</f>
        <v>1265.2218055513797</v>
      </c>
      <c r="U13" s="454">
        <f>IF(U3&gt;ProjectLife+1,0,(Main_Start*'Project Assumptions'!$L$15*((1+Main_Escal)^(U4-'Project Assumptions'!$N$6))+Fuel_Start*'Project Assumptions'!$L$16)/1000)*U6/12+((Main_Start*1/3)*'Project Assumptions'!$L$15*((1+Main_Escal)^(U4-'Project Assumptions'!$N$6))+Fuel_Start*'Project Assumptions'!$L$16)/1000*U7/12</f>
        <v>1303.1784597179212</v>
      </c>
      <c r="V13" s="454">
        <f>IF(V3&gt;ProjectLife+1,0,(Main_Start*'Project Assumptions'!$L$15*((1+Main_Escal)^(V4-'Project Assumptions'!$N$6))+Fuel_Start*'Project Assumptions'!$L$16)/1000)*V6/12+((Main_Start*1/3)*'Project Assumptions'!$L$15*((1+Main_Escal)^(V4-'Project Assumptions'!$N$6))+Fuel_Start*'Project Assumptions'!$L$16)/1000*V7/12</f>
        <v>1342.2738135094587</v>
      </c>
      <c r="W13" s="454">
        <f>IF(W3&gt;ProjectLife+1,0,(Main_Start*'Project Assumptions'!$L$15*((1+Main_Escal)^(W4-'Project Assumptions'!$N$6))+Fuel_Start*'Project Assumptions'!$L$16)/1000)*W6/12+((Main_Start*1/3)*'Project Assumptions'!$L$15*((1+Main_Escal)^(W4-'Project Assumptions'!$N$6))+Fuel_Start*'Project Assumptions'!$L$16)/1000*W7/12</f>
        <v>1382.5420279147427</v>
      </c>
      <c r="X13" s="454">
        <f>IF(X3&gt;ProjectLife+1,0,(Main_Start*'Project Assumptions'!$L$15*((1+Main_Escal)^(X4-'Project Assumptions'!$N$6))+Fuel_Start*'Project Assumptions'!$L$16)/1000)*X6/12+((Main_Start*1/3)*'Project Assumptions'!$L$15*((1+Main_Escal)^(X4-'Project Assumptions'!$N$6))+Fuel_Start*'Project Assumptions'!$L$16)/1000</f>
        <v>1424.0182887521844</v>
      </c>
      <c r="Y13" s="454">
        <f>IF(Y3&gt;ProjectLife+1,0,(Main_Start*'Project Assumptions'!$L$15*((1+Main_Escal)^(Y4-'Project Assumptions'!$N$6))+Fuel_Start*'Project Assumptions'!$L$16)/1000)*Y6/12+((Main_Start*1/3)*'Project Assumptions'!$L$15*((1+Main_Escal)^(Y4-'Project Assumptions'!$N$6))+Fuel_Start*'Project Assumptions'!$L$16)/1000*Y7/12</f>
        <v>0</v>
      </c>
      <c r="Z13" s="454">
        <f>IF(Z3&gt;ProjectLife+1,0,(Main_Start*'Project Assumptions'!$L$15*((1+Main_Escal)^(Z4-'Project Assumptions'!$N$6))+Fuel_Start*'Project Assumptions'!$L$16)/1000)*Z6/12+((Main_Start*1/3)*'Project Assumptions'!$L$15*((1+Main_Escal)^(Z4-'Project Assumptions'!$N$6))+Fuel_Start*'Project Assumptions'!$L$16)/1000*Z7/12</f>
        <v>0</v>
      </c>
      <c r="AA13" s="454">
        <f>IF(AA3&gt;ProjectLife+1,0,(Main_Start*'Project Assumptions'!$L$15*((1+Main_Escal)^(AA4-'Project Assumptions'!$N$6))+Fuel_Start*'Project Assumptions'!$L$16)/1000)*AA6/12+((Main_Start*1/3)*'Project Assumptions'!$L$15*((1+Main_Escal)^(AA4-'Project Assumptions'!$N$6))+Fuel_Start*'Project Assumptions'!$L$16)/1000*AA7/12</f>
        <v>0</v>
      </c>
      <c r="AB13" s="455">
        <f>IF(AB3&gt;ProjectLife+1,0,(Main_Start*'Project Assumptions'!$L$15*((1+Main_Escal)^(AB4-'Project Assumptions'!$N$6))+Fuel_Start*'Project Assumptions'!$L$16)/1000)*AB6/12+((Main_Start*1/3)*'Project Assumptions'!$L$15*((1+Main_Escal)^(AB4-'Project Assumptions'!$N$6))+Fuel_Start*'Project Assumptions'!$L$16)/1000*AB7/12</f>
        <v>0</v>
      </c>
    </row>
    <row r="14" spans="1:53" ht="12.6" customHeight="1">
      <c r="B14" s="449" t="s">
        <v>625</v>
      </c>
      <c r="C14" s="425"/>
      <c r="D14" s="450">
        <f>Operations!C20*AnnualHours*(Energy_Margin)/1000*D7/12</f>
        <v>0</v>
      </c>
      <c r="E14" s="450">
        <f>Operations!D20*AnnualHours*(Energy_Margin)/1000*E7/12</f>
        <v>0</v>
      </c>
      <c r="F14" s="450">
        <f>Operations!E20*AnnualHours*(Energy_Margin)/1000*F7/12</f>
        <v>0</v>
      </c>
      <c r="G14" s="450">
        <f>Operations!F20*AnnualHours*(Energy_Margin)/1000*G7/12</f>
        <v>4.2841843333333332</v>
      </c>
      <c r="H14" s="450">
        <f>Operations!G20*AnnualHours*(Energy_Margin)/1000*H7/12</f>
        <v>12.590255999999998</v>
      </c>
      <c r="I14" s="450">
        <f>Operations!H20*AnnualHours*(Energy_Margin)/1000*I7/12</f>
        <v>12.590255999999998</v>
      </c>
      <c r="J14" s="450">
        <f>Operations!I20*AnnualHours*(Energy_Margin)/1000*J7/12</f>
        <v>12.590255999999998</v>
      </c>
      <c r="K14" s="450">
        <f>Operations!J20*AnnualHours*(Energy_Margin)/1000*K7/12</f>
        <v>12.590255999999998</v>
      </c>
      <c r="L14" s="450">
        <f>Operations!K20*AnnualHours*(Energy_Margin)/1000*L7/12</f>
        <v>12.590255999999998</v>
      </c>
      <c r="M14" s="450">
        <f>Operations!L20*AnnualHours*(Energy_Margin)/1000*M7/12</f>
        <v>12.590255999999998</v>
      </c>
      <c r="N14" s="450">
        <f>Operations!M20*AnnualHours*(Energy_Margin)/1000*N7/12</f>
        <v>12.590255999999998</v>
      </c>
      <c r="O14" s="450">
        <f>Operations!N20*AnnualHours*(Energy_Margin)/1000*O7/12</f>
        <v>12.590255999999998</v>
      </c>
      <c r="P14" s="450">
        <f>Operations!O20*AnnualHours*(Energy_Margin)/1000*P7/12</f>
        <v>12.590255999999998</v>
      </c>
      <c r="Q14" s="450">
        <f>Operations!P20*AnnualHours*(Energy_Margin)/1000*Q7/12</f>
        <v>12.590255999999998</v>
      </c>
      <c r="R14" s="450">
        <f>Operations!Q20*AnnualHours*(Energy_Margin)/1000*R7/12</f>
        <v>12.590255999999998</v>
      </c>
      <c r="S14" s="450">
        <f>Operations!R20*AnnualHours*(Energy_Margin)/1000*S7/12</f>
        <v>12.590255999999998</v>
      </c>
      <c r="T14" s="450">
        <f>Operations!S20*AnnualHours*(Energy_Margin)/1000*T7/12</f>
        <v>12.590255999999998</v>
      </c>
      <c r="U14" s="450">
        <f>Operations!T20*AnnualHours*(Energy_Margin)/1000*U7/12</f>
        <v>12.590255999999998</v>
      </c>
      <c r="V14" s="450">
        <f>Operations!U20*AnnualHours*(Energy_Margin)/1000*V7/12</f>
        <v>12.590255999999998</v>
      </c>
      <c r="W14" s="450">
        <f>Operations!V20*AnnualHours*(Energy_Margin)/1000*W7/12</f>
        <v>12.590255999999998</v>
      </c>
      <c r="X14" s="450">
        <f>Operations!W20*AnnualHours*(Energy_Margin)/1000*X7/12</f>
        <v>5.2459399999999992</v>
      </c>
      <c r="Y14" s="450">
        <f>Operations!X20*AnnualHours*(Energy_Margin)/1000*Y7/12</f>
        <v>0</v>
      </c>
      <c r="Z14" s="450">
        <f>Operations!Y20*AnnualHours*(Energy_Margin)/1000*Z7/12</f>
        <v>0</v>
      </c>
      <c r="AA14" s="450">
        <f>Operations!Z20*AnnualHours*(Energy_Margin)/1000*AA7/12</f>
        <v>0</v>
      </c>
      <c r="AB14" s="450">
        <f>Operations!AA20*AnnualHours*(Energy_Margin)/1000*AB7/12</f>
        <v>0</v>
      </c>
    </row>
    <row r="15" spans="1:53" ht="12.6" customHeight="1">
      <c r="B15" s="449" t="s">
        <v>113</v>
      </c>
      <c r="C15" s="425"/>
      <c r="D15" s="456">
        <f>'PPA Assumptions &amp;Summary'!C14</f>
        <v>0</v>
      </c>
      <c r="E15" s="456">
        <f>'PPA Assumptions &amp;Summary'!D14</f>
        <v>0</v>
      </c>
      <c r="F15" s="456">
        <f>'PPA Assumptions &amp;Summary'!E14</f>
        <v>0</v>
      </c>
      <c r="G15" s="456">
        <f>'PPA Assumptions &amp;Summary'!F14</f>
        <v>0</v>
      </c>
      <c r="H15" s="456">
        <f>'PPA Assumptions &amp;Summary'!G14</f>
        <v>0</v>
      </c>
      <c r="I15" s="456">
        <f>'PPA Assumptions &amp;Summary'!H14</f>
        <v>0</v>
      </c>
      <c r="J15" s="456">
        <f>'PPA Assumptions &amp;Summary'!I14</f>
        <v>0</v>
      </c>
      <c r="K15" s="456">
        <f>'PPA Assumptions &amp;Summary'!J14</f>
        <v>0</v>
      </c>
      <c r="L15" s="456">
        <f>'PPA Assumptions &amp;Summary'!K14</f>
        <v>0</v>
      </c>
      <c r="M15" s="456">
        <f>'PPA Assumptions &amp;Summary'!L14</f>
        <v>0</v>
      </c>
      <c r="N15" s="456">
        <f>'PPA Assumptions &amp;Summary'!M14</f>
        <v>0</v>
      </c>
      <c r="O15" s="456">
        <f>'PPA Assumptions &amp;Summary'!N14</f>
        <v>0</v>
      </c>
      <c r="P15" s="456">
        <f>'PPA Assumptions &amp;Summary'!O14</f>
        <v>0</v>
      </c>
      <c r="Q15" s="456">
        <f>'PPA Assumptions &amp;Summary'!P14</f>
        <v>0</v>
      </c>
      <c r="R15" s="456">
        <f>'PPA Assumptions &amp;Summary'!Q14</f>
        <v>0</v>
      </c>
      <c r="S15" s="456">
        <f>'PPA Assumptions &amp;Summary'!R14</f>
        <v>0</v>
      </c>
      <c r="T15" s="456">
        <f>'PPA Assumptions &amp;Summary'!S14</f>
        <v>0</v>
      </c>
      <c r="U15" s="456">
        <f>'PPA Assumptions &amp;Summary'!T14</f>
        <v>0</v>
      </c>
      <c r="V15" s="456">
        <f>'PPA Assumptions &amp;Summary'!U14</f>
        <v>0</v>
      </c>
      <c r="W15" s="456">
        <f>'PPA Assumptions &amp;Summary'!V14</f>
        <v>0</v>
      </c>
      <c r="X15" s="456">
        <f>'PPA Assumptions &amp;Summary'!W14</f>
        <v>0</v>
      </c>
      <c r="Y15" s="456">
        <f>'PPA Assumptions &amp;Summary'!X14</f>
        <v>0</v>
      </c>
      <c r="Z15" s="456">
        <f>'PPA Assumptions &amp;Summary'!Y14</f>
        <v>0</v>
      </c>
      <c r="AA15" s="456">
        <f>'PPA Assumptions &amp;Summary'!Z14</f>
        <v>0</v>
      </c>
      <c r="AB15" s="457">
        <f>'PPA Assumptions &amp;Summary'!AA14</f>
        <v>0</v>
      </c>
    </row>
    <row r="16" spans="1:53" ht="12.6" customHeight="1">
      <c r="B16" s="449" t="s">
        <v>145</v>
      </c>
      <c r="C16" s="425"/>
      <c r="D16" s="458">
        <f>'PPA Assumptions &amp;Summary'!C15</f>
        <v>0</v>
      </c>
      <c r="E16" s="458">
        <f>'PPA Assumptions &amp;Summary'!D15</f>
        <v>0</v>
      </c>
      <c r="F16" s="458">
        <f>'PPA Assumptions &amp;Summary'!E15</f>
        <v>0</v>
      </c>
      <c r="G16" s="458">
        <f>'PPA Assumptions &amp;Summary'!F15</f>
        <v>0</v>
      </c>
      <c r="H16" s="458">
        <f>'PPA Assumptions &amp;Summary'!G15</f>
        <v>0</v>
      </c>
      <c r="I16" s="458">
        <f>'PPA Assumptions &amp;Summary'!H15</f>
        <v>0</v>
      </c>
      <c r="J16" s="458">
        <f>'PPA Assumptions &amp;Summary'!I15</f>
        <v>0</v>
      </c>
      <c r="K16" s="458">
        <f>'PPA Assumptions &amp;Summary'!J15</f>
        <v>0</v>
      </c>
      <c r="L16" s="458">
        <f>'PPA Assumptions &amp;Summary'!K15</f>
        <v>0</v>
      </c>
      <c r="M16" s="458">
        <f>'PPA Assumptions &amp;Summary'!L15</f>
        <v>0</v>
      </c>
      <c r="N16" s="458">
        <f>'PPA Assumptions &amp;Summary'!M15</f>
        <v>0</v>
      </c>
      <c r="O16" s="458">
        <f>'PPA Assumptions &amp;Summary'!N15</f>
        <v>0</v>
      </c>
      <c r="P16" s="458">
        <f>'PPA Assumptions &amp;Summary'!O15</f>
        <v>0</v>
      </c>
      <c r="Q16" s="458">
        <f>'PPA Assumptions &amp;Summary'!P15</f>
        <v>0</v>
      </c>
      <c r="R16" s="458">
        <f>'PPA Assumptions &amp;Summary'!Q15</f>
        <v>0</v>
      </c>
      <c r="S16" s="458">
        <f>'PPA Assumptions &amp;Summary'!R15</f>
        <v>0</v>
      </c>
      <c r="T16" s="458">
        <f>'PPA Assumptions &amp;Summary'!S15</f>
        <v>0</v>
      </c>
      <c r="U16" s="458">
        <f>'PPA Assumptions &amp;Summary'!T15</f>
        <v>0</v>
      </c>
      <c r="V16" s="458">
        <f>'PPA Assumptions &amp;Summary'!U15</f>
        <v>0</v>
      </c>
      <c r="W16" s="458">
        <f>'PPA Assumptions &amp;Summary'!V15</f>
        <v>0</v>
      </c>
      <c r="X16" s="458">
        <f>'PPA Assumptions &amp;Summary'!W15</f>
        <v>0</v>
      </c>
      <c r="Y16" s="458">
        <f>'PPA Assumptions &amp;Summary'!X15</f>
        <v>0</v>
      </c>
      <c r="Z16" s="458">
        <f>'PPA Assumptions &amp;Summary'!Y15</f>
        <v>0</v>
      </c>
      <c r="AA16" s="458">
        <f>'PPA Assumptions &amp;Summary'!Z15</f>
        <v>0</v>
      </c>
      <c r="AB16" s="459">
        <f>'PPA Assumptions &amp;Summary'!AA15</f>
        <v>0</v>
      </c>
    </row>
    <row r="17" spans="1:28" ht="12.6" customHeight="1">
      <c r="B17" s="460" t="s">
        <v>77</v>
      </c>
      <c r="C17" s="461"/>
      <c r="D17" s="462">
        <f t="shared" ref="D17:AB17" si="2">SUM(D10:D16)</f>
        <v>34109.700766946342</v>
      </c>
      <c r="E17" s="462">
        <f t="shared" si="2"/>
        <v>44409.687929227432</v>
      </c>
      <c r="F17" s="462">
        <f t="shared" si="2"/>
        <v>44506.771127474982</v>
      </c>
      <c r="G17" s="462">
        <f t="shared" si="2"/>
        <v>50218.30886229824</v>
      </c>
      <c r="H17" s="462">
        <f t="shared" si="2"/>
        <v>54574.673522346537</v>
      </c>
      <c r="I17" s="462">
        <f t="shared" si="2"/>
        <v>55063.697327630136</v>
      </c>
      <c r="J17" s="462">
        <f t="shared" si="2"/>
        <v>55548.558715276522</v>
      </c>
      <c r="K17" s="462">
        <f t="shared" si="2"/>
        <v>56699.530399946743</v>
      </c>
      <c r="L17" s="462">
        <f t="shared" si="2"/>
        <v>57194.12097543355</v>
      </c>
      <c r="M17" s="462">
        <f t="shared" si="2"/>
        <v>58394.459527908475</v>
      </c>
      <c r="N17" s="462">
        <f t="shared" si="2"/>
        <v>58897.821542416961</v>
      </c>
      <c r="O17" s="462">
        <f t="shared" si="2"/>
        <v>60149.271111901398</v>
      </c>
      <c r="P17" s="462">
        <f t="shared" si="2"/>
        <v>60660.638584232147</v>
      </c>
      <c r="Q17" s="462">
        <f t="shared" si="2"/>
        <v>61164.018313205663</v>
      </c>
      <c r="R17" s="462">
        <f t="shared" si="2"/>
        <v>61658.470803495424</v>
      </c>
      <c r="S17" s="462">
        <f t="shared" si="2"/>
        <v>62143.007379024326</v>
      </c>
      <c r="T17" s="462">
        <f t="shared" si="2"/>
        <v>62616.588077665459</v>
      </c>
      <c r="U17" s="462">
        <f t="shared" si="2"/>
        <v>63078.11946388759</v>
      </c>
      <c r="V17" s="462">
        <f t="shared" si="2"/>
        <v>63526.452356316782</v>
      </c>
      <c r="W17" s="462">
        <f t="shared" si="2"/>
        <v>63960.379467077859</v>
      </c>
      <c r="X17" s="462">
        <f t="shared" si="2"/>
        <v>38508.425390341457</v>
      </c>
      <c r="Y17" s="462">
        <f t="shared" si="2"/>
        <v>0</v>
      </c>
      <c r="Z17" s="462">
        <f t="shared" si="2"/>
        <v>0</v>
      </c>
      <c r="AA17" s="462">
        <f t="shared" si="2"/>
        <v>0</v>
      </c>
      <c r="AB17" s="463">
        <f t="shared" si="2"/>
        <v>0</v>
      </c>
    </row>
    <row r="18" spans="1:28" ht="12.6" customHeight="1" thickBot="1">
      <c r="B18" s="422"/>
      <c r="C18" s="423" t="s">
        <v>141</v>
      </c>
      <c r="D18" s="424"/>
      <c r="E18" s="424"/>
      <c r="F18" s="424"/>
      <c r="G18" s="424"/>
      <c r="H18" s="424"/>
      <c r="I18" s="424"/>
      <c r="J18" s="424"/>
      <c r="K18" s="424"/>
      <c r="L18" s="424"/>
      <c r="M18" s="424"/>
      <c r="N18" s="424"/>
      <c r="O18" s="424"/>
      <c r="P18" s="424"/>
      <c r="Q18" s="424"/>
      <c r="R18" s="424"/>
      <c r="S18" s="424"/>
      <c r="T18" s="424"/>
      <c r="U18" s="424"/>
      <c r="V18" s="424"/>
      <c r="W18" s="424"/>
      <c r="X18" s="424"/>
      <c r="Y18" s="424"/>
      <c r="Z18" s="424"/>
      <c r="AA18" s="424"/>
      <c r="AB18" s="424"/>
    </row>
    <row r="19" spans="1:28" ht="12.6" customHeight="1">
      <c r="B19" s="464"/>
      <c r="C19" s="425"/>
      <c r="D19" s="465"/>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row>
    <row r="20" spans="1:28" ht="12.6" customHeight="1">
      <c r="B20" s="445" t="s">
        <v>436</v>
      </c>
      <c r="C20" s="437"/>
      <c r="D20" s="466"/>
      <c r="E20" s="466"/>
      <c r="F20" s="466"/>
      <c r="G20" s="466"/>
      <c r="H20" s="466"/>
      <c r="I20" s="466"/>
      <c r="J20" s="466"/>
      <c r="K20" s="466"/>
      <c r="L20" s="466"/>
      <c r="M20" s="466"/>
      <c r="N20" s="466"/>
      <c r="O20" s="466"/>
      <c r="P20" s="466"/>
      <c r="Q20" s="466"/>
      <c r="R20" s="466"/>
      <c r="S20" s="466"/>
      <c r="T20" s="466"/>
      <c r="U20" s="466"/>
      <c r="V20" s="466"/>
      <c r="W20" s="466"/>
      <c r="X20" s="466"/>
      <c r="Y20" s="466"/>
      <c r="Z20" s="466"/>
      <c r="AA20" s="466"/>
      <c r="AB20" s="467"/>
    </row>
    <row r="21" spans="1:28" ht="12.6" customHeight="1">
      <c r="B21" s="468"/>
      <c r="C21" s="425"/>
      <c r="D21" s="450"/>
      <c r="E21" s="450"/>
      <c r="F21" s="450"/>
      <c r="G21" s="450"/>
      <c r="H21" s="450"/>
      <c r="I21" s="450"/>
      <c r="J21" s="450"/>
      <c r="K21" s="450"/>
      <c r="L21" s="450"/>
      <c r="M21" s="450"/>
      <c r="N21" s="450"/>
      <c r="O21" s="450"/>
      <c r="P21" s="450"/>
      <c r="Q21" s="450"/>
      <c r="R21" s="450"/>
      <c r="S21" s="450"/>
      <c r="T21" s="450"/>
      <c r="U21" s="450"/>
      <c r="V21" s="450"/>
      <c r="W21" s="450"/>
      <c r="X21" s="450"/>
      <c r="Y21" s="450"/>
      <c r="Z21" s="450"/>
      <c r="AA21" s="450"/>
      <c r="AB21" s="451"/>
    </row>
    <row r="22" spans="1:28" ht="12.6" customHeight="1">
      <c r="B22" s="468" t="s">
        <v>520</v>
      </c>
      <c r="C22" s="425"/>
      <c r="D22" s="450"/>
      <c r="E22" s="450"/>
      <c r="F22" s="450"/>
      <c r="G22" s="450"/>
      <c r="H22" s="450"/>
      <c r="I22" s="450"/>
      <c r="J22" s="450"/>
      <c r="K22" s="450"/>
      <c r="L22" s="450"/>
      <c r="M22" s="450"/>
      <c r="N22" s="450"/>
      <c r="O22" s="450"/>
      <c r="P22" s="450"/>
      <c r="Q22" s="450"/>
      <c r="R22" s="450"/>
      <c r="S22" s="450"/>
      <c r="T22" s="450"/>
      <c r="U22" s="450"/>
      <c r="V22" s="450"/>
      <c r="W22" s="450"/>
      <c r="X22" s="450"/>
      <c r="Y22" s="450"/>
      <c r="Z22" s="450"/>
      <c r="AA22" s="450"/>
      <c r="AB22" s="451"/>
    </row>
    <row r="23" spans="1:28" ht="12.6" customHeight="1">
      <c r="B23" s="449" t="s">
        <v>314</v>
      </c>
      <c r="C23" s="425"/>
      <c r="D23" s="454">
        <f>IF(D3&gt;'Project Assumptions'!$I$15+1,0,Operations!C35+Operations!C36)</f>
        <v>16697.354376946339</v>
      </c>
      <c r="E23" s="454">
        <f>IF(E3&gt;'Project Assumptions'!$I$15+1,0,Operations!D35+Operations!D36)</f>
        <v>16703.371147527429</v>
      </c>
      <c r="F23" s="454">
        <f>IF(F3&gt;'Project Assumptions'!$I$15+1,0,Operations!E35+Operations!E36)</f>
        <v>16703.664842323982</v>
      </c>
      <c r="G23" s="454">
        <f>IF(G3&gt;'Project Assumptions'!$I$15+1,0,Operations!F35+Operations!F36)</f>
        <v>17066.364663683875</v>
      </c>
      <c r="H23" s="454">
        <f>IF(H3&gt;'Project Assumptions'!$I$15+1,0,Operations!G35+Operations!G36)</f>
        <v>17182.539304520589</v>
      </c>
      <c r="I23" s="454">
        <f>IF(I3&gt;'Project Assumptions'!$I$15+1,0,Operations!H35+Operations!H36)</f>
        <v>17182.457552496937</v>
      </c>
      <c r="J23" s="454">
        <f>IF(J3&gt;'Project Assumptions'!$I$15+1,0,Operations!I35+Operations!I36)</f>
        <v>17182.508638963274</v>
      </c>
      <c r="K23" s="454">
        <f>IF(K3&gt;'Project Assumptions'!$I$15+1,0,Operations!J35+Operations!J36)</f>
        <v>17182.876529024103</v>
      </c>
      <c r="L23" s="454">
        <f>IF(L3&gt;'Project Assumptions'!$I$15+1,0,Operations!K35+Operations!K36)</f>
        <v>17183.255455786759</v>
      </c>
      <c r="M23" s="454">
        <f>IF(M3&gt;'Project Assumptions'!$I$15+1,0,Operations!L35+Operations!L36)</f>
        <v>17183.645750352291</v>
      </c>
      <c r="N23" s="454">
        <f>IF(N3&gt;'Project Assumptions'!$I$15+1,0,Operations!M35+Operations!M36)</f>
        <v>17184.047753754789</v>
      </c>
      <c r="O23" s="454">
        <f>IF(O3&gt;'Project Assumptions'!$I$15+1,0,Operations!N35+Operations!N36)</f>
        <v>17184.461817259362</v>
      </c>
      <c r="P23" s="454">
        <f>IF(P3&gt;'Project Assumptions'!$I$15+1,0,Operations!O35+Operations!O36)</f>
        <v>17184.888302669075</v>
      </c>
      <c r="Q23" s="454">
        <f>IF(Q3&gt;'Project Assumptions'!$I$15+1,0,Operations!P35+Operations!P36)</f>
        <v>17185.327582641075</v>
      </c>
      <c r="R23" s="454">
        <f>IF(R3&gt;'Project Assumptions'!$I$15+1,0,Operations!Q35+Operations!Q36)</f>
        <v>17185.78004101224</v>
      </c>
      <c r="S23" s="454">
        <f>IF(S3&gt;'Project Assumptions'!$I$15+1,0,Operations!R35+Operations!R36)</f>
        <v>17186.246073134535</v>
      </c>
      <c r="T23" s="454">
        <f>IF(T3&gt;'Project Assumptions'!$I$15+1,0,Operations!S35+Operations!S36)</f>
        <v>17186.7260862205</v>
      </c>
      <c r="U23" s="454">
        <f>IF(U3&gt;'Project Assumptions'!$I$15+1,0,Operations!T35+Operations!T36)</f>
        <v>17187.220499699048</v>
      </c>
      <c r="V23" s="454">
        <f>IF(V3&gt;'Project Assumptions'!$I$15+1,0,Operations!U35+Operations!U36)</f>
        <v>17187.72974558195</v>
      </c>
      <c r="W23" s="454">
        <f>IF(W3&gt;'Project Assumptions'!$I$15+1,0,Operations!V35+Operations!V36)</f>
        <v>17188.254268841338</v>
      </c>
      <c r="X23" s="454">
        <f>IF(X3&gt;'Project Assumptions'!$I$15+1,0,Operations!W35+Operations!W36)</f>
        <v>17184.092931129428</v>
      </c>
      <c r="Y23" s="454">
        <f>IF(Y3&gt;'Project Assumptions'!$I$15+1,0,Operations!X35+Operations!X36)</f>
        <v>0</v>
      </c>
      <c r="Z23" s="454">
        <f>IF(Z3&gt;'Project Assumptions'!$I$15+1,0,Operations!Y35+Operations!Y36)</f>
        <v>0</v>
      </c>
      <c r="AA23" s="454">
        <f>IF(AA3&gt;'Project Assumptions'!$I$15+1,0,Operations!Z35+Operations!Z36)</f>
        <v>0</v>
      </c>
      <c r="AB23" s="454">
        <f>IF(AB3&gt;'Project Assumptions'!$I$15+1,0,Operations!AA35+Operations!AA36)</f>
        <v>0</v>
      </c>
    </row>
    <row r="24" spans="1:28" ht="12.6" customHeight="1">
      <c r="B24" s="449"/>
      <c r="C24" s="425"/>
      <c r="D24" s="454"/>
      <c r="E24" s="454"/>
      <c r="F24" s="454"/>
      <c r="G24" s="454"/>
      <c r="H24" s="454"/>
      <c r="I24" s="454"/>
      <c r="J24" s="454"/>
      <c r="K24" s="454"/>
      <c r="L24" s="454"/>
      <c r="M24" s="454"/>
      <c r="N24" s="454"/>
      <c r="O24" s="454"/>
      <c r="P24" s="454"/>
      <c r="Q24" s="454"/>
      <c r="R24" s="454"/>
      <c r="S24" s="454"/>
      <c r="T24" s="454"/>
      <c r="U24" s="454"/>
      <c r="V24" s="454"/>
      <c r="W24" s="454"/>
      <c r="X24" s="454"/>
      <c r="Y24" s="454"/>
      <c r="Z24" s="454"/>
      <c r="AA24" s="454"/>
      <c r="AB24" s="455"/>
    </row>
    <row r="25" spans="1:28" ht="12.6" customHeight="1">
      <c r="A25" s="1">
        <v>3</v>
      </c>
      <c r="B25" s="469" t="s">
        <v>432</v>
      </c>
      <c r="C25" s="425"/>
      <c r="D25" s="495">
        <f>IF(D3&gt;'Project Assumptions'!$I$15+1,0,(WaterMWh*(Operations!C25+Operations!C27))*((1+OM_Escal)^(D4-'Project Assumptions'!$N$6))/1000)</f>
        <v>446.06519000000009</v>
      </c>
      <c r="E25" s="495">
        <f>IF(E3&gt;'Project Assumptions'!$I$15+1,0,(WaterMWh*(Operations!D25+Operations!D27))*((1+OM_Escal)^(E4-'Project Assumptions'!$N$6))/1000)</f>
        <v>459.44714570000008</v>
      </c>
      <c r="F25" s="495">
        <f>IF(F3&gt;'Project Assumptions'!$I$15+1,0,(WaterMWh*(Operations!E25+Operations!E27))*((1+OM_Escal)^(F4-'Project Assumptions'!$N$6))/1000)</f>
        <v>473.23056007100007</v>
      </c>
      <c r="G25" s="495">
        <f>IF(G3&gt;'Project Assumptions'!$I$15+1,0,(WaterMWh*(Operations!F25+Operations!F27))*((1+OM_Escal)^(G4-'Project Assumptions'!$N$6))/1000)</f>
        <v>498.0010943166323</v>
      </c>
      <c r="H25" s="495">
        <f>IF(H3&gt;'Project Assumptions'!$I$15+1,0,(WaterMWh*(Operations!G25+Operations!G27))*((1+OM_Escal)^(H4-'Project Assumptions'!$N$6))/1000)</f>
        <v>516.41681509189448</v>
      </c>
      <c r="I25" s="495">
        <f>IF(I3&gt;'Project Assumptions'!$I$15+1,0,(WaterMWh*(Operations!H25+Operations!H27))*((1+OM_Escal)^(I4-'Project Assumptions'!$N$6))/1000)</f>
        <v>531.90931954465145</v>
      </c>
      <c r="J25" s="495">
        <f>IF(J3&gt;'Project Assumptions'!$I$15+1,0,(WaterMWh*(Operations!I25+Operations!I27))*((1+OM_Escal)^(J4-'Project Assumptions'!$N$6))/1000)</f>
        <v>547.86659913099095</v>
      </c>
      <c r="K25" s="495">
        <f>IF(K3&gt;'Project Assumptions'!$I$15+1,0,(WaterMWh*(Operations!J25+Operations!J27))*((1+OM_Escal)^(K4-'Project Assumptions'!$N$6))/1000)</f>
        <v>564.30259710492066</v>
      </c>
      <c r="L25" s="495">
        <f>IF(L3&gt;'Project Assumptions'!$I$15+1,0,(WaterMWh*(Operations!K25+Operations!K27))*((1+OM_Escal)^(L4-'Project Assumptions'!$N$6))/1000)</f>
        <v>581.23167501806824</v>
      </c>
      <c r="M25" s="495">
        <f>IF(M3&gt;'Project Assumptions'!$I$15+1,0,(WaterMWh*(Operations!L25+Operations!L27))*((1+OM_Escal)^(M4-'Project Assumptions'!$N$6))/1000)</f>
        <v>598.6686252686103</v>
      </c>
      <c r="N25" s="495">
        <f>IF(N3&gt;'Project Assumptions'!$I$15+1,0,(WaterMWh*(Operations!M25+Operations!M27))*((1+OM_Escal)^(N4-'Project Assumptions'!$N$6))/1000)</f>
        <v>616.62868402666868</v>
      </c>
      <c r="O25" s="495">
        <f>IF(O3&gt;'Project Assumptions'!$I$15+1,0,(WaterMWh*(Operations!N25+Operations!N27))*((1+OM_Escal)^(O4-'Project Assumptions'!$N$6))/1000)</f>
        <v>635.12754454746857</v>
      </c>
      <c r="P25" s="495">
        <f>IF(P3&gt;'Project Assumptions'!$I$15+1,0,(WaterMWh*(Operations!O25+Operations!O27))*((1+OM_Escal)^(P4-'Project Assumptions'!$N$6))/1000)</f>
        <v>654.18137088389267</v>
      </c>
      <c r="Q25" s="495">
        <f>IF(Q3&gt;'Project Assumptions'!$I$15+1,0,(WaterMWh*(Operations!P25+Operations!P27))*((1+OM_Escal)^(Q4-'Project Assumptions'!$N$6))/1000)</f>
        <v>673.80681201040943</v>
      </c>
      <c r="R25" s="495">
        <f>IF(R3&gt;'Project Assumptions'!$I$15+1,0,(WaterMWh*(Operations!Q25+Operations!Q27))*((1+OM_Escal)^(R4-'Project Assumptions'!$N$6))/1000)</f>
        <v>694.02101637072178</v>
      </c>
      <c r="S25" s="495">
        <f>IF(S3&gt;'Project Assumptions'!$I$15+1,0,(WaterMWh*(Operations!R25+Operations!R27))*((1+OM_Escal)^(S4-'Project Assumptions'!$N$6))/1000)</f>
        <v>714.84164686184329</v>
      </c>
      <c r="T25" s="495">
        <f>IF(T3&gt;'Project Assumptions'!$I$15+1,0,(WaterMWh*(Operations!S25+Operations!S27))*((1+OM_Escal)^(T4-'Project Assumptions'!$N$6))/1000)</f>
        <v>736.28689626769858</v>
      </c>
      <c r="U25" s="495">
        <f>IF(U3&gt;'Project Assumptions'!$I$15+1,0,(WaterMWh*(Operations!T25+Operations!T27))*((1+OM_Escal)^(U4-'Project Assumptions'!$N$6))/1000)</f>
        <v>758.37550315572958</v>
      </c>
      <c r="V25" s="495">
        <f>IF(V3&gt;'Project Assumptions'!$I$15+1,0,(WaterMWh*(Operations!U25+Operations!U27))*((1+OM_Escal)^(V4-'Project Assumptions'!$N$6))/1000)</f>
        <v>781.12676825040148</v>
      </c>
      <c r="W25" s="495">
        <f>IF(W3&gt;'Project Assumptions'!$I$15+1,0,(WaterMWh*(Operations!V25+Operations!V27))*((1+OM_Escal)^(W4-'Project Assumptions'!$N$6))/1000)</f>
        <v>804.56057129791338</v>
      </c>
      <c r="X25" s="495">
        <f>IF(X3&gt;'Project Assumptions'!$I$15+1,0,(WaterMWh*(Operations!W25+Operations!W27))*((1+OM_Escal)^(X4-'Project Assumptions'!$N$6))/1000)</f>
        <v>828.6973884368507</v>
      </c>
      <c r="Y25" s="495">
        <f>IF(Y3&gt;'Project Assumptions'!$I$15+1,0,(WaterMWh*(Operations!X25+Operations!X27))*((1+OM_Escal)^(Y4-'Project Assumptions'!$N$6))/1000)</f>
        <v>0</v>
      </c>
      <c r="Z25" s="495">
        <f>IF(Z3&gt;'Project Assumptions'!$I$15+1,0,(WaterMWh*(Operations!Y25+Operations!Y27))*((1+OM_Escal)^(Z4-'Project Assumptions'!$N$6))/1000)</f>
        <v>0</v>
      </c>
      <c r="AA25" s="495">
        <f>IF(AA3&gt;'Project Assumptions'!$I$15+1,0,(WaterMWh*(Operations!Z25+Operations!Z27))*((1+OM_Escal)^(AA4-'Project Assumptions'!$N$6))/1000)</f>
        <v>0</v>
      </c>
      <c r="AB25" s="495">
        <f>IF(AB3&gt;'Project Assumptions'!$I$15+1,0,(WaterMWh*(Operations!AA25+Operations!AA27))*((1+OM_Escal)^(AB4-'Project Assumptions'!$N$6))/1000)</f>
        <v>0</v>
      </c>
    </row>
    <row r="26" spans="1:28" ht="12.6" customHeight="1">
      <c r="A26" s="1">
        <v>3</v>
      </c>
      <c r="B26" s="469" t="s">
        <v>433</v>
      </c>
      <c r="C26" s="425"/>
      <c r="D26" s="495">
        <f>IF(D3&gt;'Project Assumptions'!$I$15+1,0,(FercMWh*(Operations!C25+Operations!C27))*((1+OM_Escal)^(D4-'Project Assumptions'!$N$6))/1000)</f>
        <v>31.518000000000001</v>
      </c>
      <c r="E26" s="495">
        <f>IF(E3&gt;'Project Assumptions'!$I$15+1,0,(FercMWh*(Operations!D25+Operations!D27))*((1+OM_Escal)^(E4-'Project Assumptions'!$N$6))/1000)</f>
        <v>32.463539999999995</v>
      </c>
      <c r="F26" s="495">
        <f>IF(F3&gt;'Project Assumptions'!$I$15+1,0,(FercMWh*(Operations!E25+Operations!E27))*((1+OM_Escal)^(F4-'Project Assumptions'!$N$6))/1000)</f>
        <v>33.437446199999997</v>
      </c>
      <c r="G26" s="495">
        <f>IF(G3&gt;'Project Assumptions'!$I$15+1,0,(FercMWh*(Operations!F25+Operations!F27))*((1+OM_Escal)^(G4-'Project Assumptions'!$N$6))/1000)</f>
        <v>35.187678488589562</v>
      </c>
      <c r="H26" s="495">
        <f>IF(H3&gt;'Project Assumptions'!$I$15+1,0,(FercMWh*(Operations!G25+Operations!G27))*((1+OM_Escal)^(H4-'Project Assumptions'!$N$6))/1000)</f>
        <v>36.488893424000047</v>
      </c>
      <c r="I26" s="495">
        <f>IF(I3&gt;'Project Assumptions'!$I$15+1,0,(FercMWh*(Operations!H25+Operations!H27))*((1+OM_Escal)^(I4-'Project Assumptions'!$N$6))/1000)</f>
        <v>37.583560226720053</v>
      </c>
      <c r="J26" s="495">
        <f>IF(J3&gt;'Project Assumptions'!$I$15+1,0,(FercMWh*(Operations!I25+Operations!I27))*((1+OM_Escal)^(J4-'Project Assumptions'!$N$6))/1000)</f>
        <v>38.711067033521658</v>
      </c>
      <c r="K26" s="495">
        <f>IF(K3&gt;'Project Assumptions'!$I$15+1,0,(FercMWh*(Operations!J25+Operations!J27))*((1+OM_Escal)^(K4-'Project Assumptions'!$N$6))/1000)</f>
        <v>39.872399044527299</v>
      </c>
      <c r="L26" s="495">
        <f>IF(L3&gt;'Project Assumptions'!$I$15+1,0,(FercMWh*(Operations!K25+Operations!K27))*((1+OM_Escal)^(L4-'Project Assumptions'!$N$6))/1000)</f>
        <v>41.068571015863121</v>
      </c>
      <c r="M26" s="495">
        <f>IF(M3&gt;'Project Assumptions'!$I$15+1,0,(FercMWh*(Operations!L25+Operations!L27))*((1+OM_Escal)^(M4-'Project Assumptions'!$N$6))/1000)</f>
        <v>42.300628146339008</v>
      </c>
      <c r="N26" s="495">
        <f>IF(N3&gt;'Project Assumptions'!$I$15+1,0,(FercMWh*(Operations!M25+Operations!M27))*((1+OM_Escal)^(N4-'Project Assumptions'!$N$6))/1000)</f>
        <v>43.569646990729183</v>
      </c>
      <c r="O26" s="495">
        <f>IF(O3&gt;'Project Assumptions'!$I$15+1,0,(FercMWh*(Operations!N25+Operations!N27))*((1+OM_Escal)^(O4-'Project Assumptions'!$N$6))/1000)</f>
        <v>44.876736400451051</v>
      </c>
      <c r="P26" s="495">
        <f>IF(P3&gt;'Project Assumptions'!$I$15+1,0,(FercMWh*(Operations!O25+Operations!O27))*((1+OM_Escal)^(P4-'Project Assumptions'!$N$6))/1000)</f>
        <v>46.223038492464582</v>
      </c>
      <c r="Q26" s="495">
        <f>IF(Q3&gt;'Project Assumptions'!$I$15+1,0,(FercMWh*(Operations!P25+Operations!P27))*((1+OM_Escal)^(Q4-'Project Assumptions'!$N$6))/1000)</f>
        <v>47.609729647238531</v>
      </c>
      <c r="R26" s="495">
        <f>IF(R3&gt;'Project Assumptions'!$I$15+1,0,(FercMWh*(Operations!Q25+Operations!Q27))*((1+OM_Escal)^(R4-'Project Assumptions'!$N$6))/1000)</f>
        <v>49.038021536655691</v>
      </c>
      <c r="S26" s="495">
        <f>IF(S3&gt;'Project Assumptions'!$I$15+1,0,(FercMWh*(Operations!R25+Operations!R27))*((1+OM_Escal)^(S4-'Project Assumptions'!$N$6))/1000)</f>
        <v>50.509162182755347</v>
      </c>
      <c r="T26" s="495">
        <f>IF(T3&gt;'Project Assumptions'!$I$15+1,0,(FercMWh*(Operations!S25+Operations!S27))*((1+OM_Escal)^(T4-'Project Assumptions'!$N$6))/1000)</f>
        <v>52.024437048238006</v>
      </c>
      <c r="U26" s="495">
        <f>IF(U3&gt;'Project Assumptions'!$I$15+1,0,(FercMWh*(Operations!T25+Operations!T27))*((1+OM_Escal)^(U4-'Project Assumptions'!$N$6))/1000)</f>
        <v>53.585170159685148</v>
      </c>
      <c r="V26" s="495">
        <f>IF(V3&gt;'Project Assumptions'!$I$15+1,0,(FercMWh*(Operations!U25+Operations!U27))*((1+OM_Escal)^(V4-'Project Assumptions'!$N$6))/1000)</f>
        <v>55.192725264475705</v>
      </c>
      <c r="W26" s="495">
        <f>IF(W3&gt;'Project Assumptions'!$I$15+1,0,(FercMWh*(Operations!V25+Operations!V27))*((1+OM_Escal)^(W4-'Project Assumptions'!$N$6))/1000)</f>
        <v>56.848507022409969</v>
      </c>
      <c r="X26" s="495">
        <f>IF(X3&gt;'Project Assumptions'!$I$15+1,0,(FercMWh*(Operations!W25+Operations!W27))*((1+OM_Escal)^(X4-'Project Assumptions'!$N$6))/1000)</f>
        <v>58.55396223308226</v>
      </c>
      <c r="Y26" s="495">
        <f>IF(Y3&gt;'Project Assumptions'!$I$15+1,0,(FercMWh*(Operations!X25+Operations!X27))*((1+OM_Escal)^(Y4-'Project Assumptions'!$N$6))/1000)</f>
        <v>0</v>
      </c>
      <c r="Z26" s="495">
        <f>IF(Z3&gt;'Project Assumptions'!$I$15+1,0,(FercMWh*(Operations!Y25+Operations!Y27))*((1+OM_Escal)^(Z4-'Project Assumptions'!$N$6))/1000)</f>
        <v>0</v>
      </c>
      <c r="AA26" s="495">
        <f>IF(AA3&gt;'Project Assumptions'!$I$15+1,0,(FercMWh*(Operations!Z25+Operations!Z27))*((1+OM_Escal)^(AA4-'Project Assumptions'!$N$6))/1000)</f>
        <v>0</v>
      </c>
      <c r="AB26" s="495">
        <f>IF(AB3&gt;'Project Assumptions'!$I$15+1,0,(FercMWh*(Operations!AA25+Operations!AA27))*((1+OM_Escal)^(AB4-'Project Assumptions'!$N$6))/1000)</f>
        <v>0</v>
      </c>
    </row>
    <row r="27" spans="1:28" ht="12.6" customHeight="1">
      <c r="A27" s="1">
        <v>3</v>
      </c>
      <c r="B27" s="469" t="s">
        <v>434</v>
      </c>
      <c r="C27" s="425"/>
      <c r="D27" s="497">
        <f>IF(D3&gt;'Project Assumptions'!$I$15+1,0,(MainMWh*(Operations!C25+Operations!C27))*((1+OM_Escal)^(D4-'Project Assumptions'!$N$6))/1000)</f>
        <v>289.43</v>
      </c>
      <c r="E27" s="497">
        <f>IF(E3&gt;'Project Assumptions'!$I$15+1,0,(MainMWh*(Operations!D25+Operations!D27))*((1+OM_Escal)^(E4-'Project Assumptions'!$N$6))/1000)</f>
        <v>298.11289999999997</v>
      </c>
      <c r="F27" s="497">
        <f>IF(F3&gt;'Project Assumptions'!$I$15+1,0,(MainMWh*(Operations!E25+Operations!E27))*((1+OM_Escal)^(F4-'Project Assumptions'!$N$6))/1000)</f>
        <v>307.056287</v>
      </c>
      <c r="G27" s="497">
        <f>IF(G3&gt;'Project Assumptions'!$I$15+1,0,(MainMWh*(Operations!F25+Operations!F27))*((1+OM_Escal)^(G4-'Project Assumptions'!$N$6))/1000)</f>
        <v>323.12868154554462</v>
      </c>
      <c r="H27" s="497">
        <f>IF(H3&gt;'Project Assumptions'!$I$15+1,0,(MainMWh*(Operations!G25+Operations!G27))*((1+OM_Escal)^(H4-'Project Assumptions'!$N$6))/1000)</f>
        <v>335.07774680209189</v>
      </c>
      <c r="I27" s="497">
        <f>IF(I3&gt;'Project Assumptions'!$I$15+1,0,(MainMWh*(Operations!H25+Operations!H27))*((1+OM_Escal)^(I4-'Project Assumptions'!$N$6))/1000)</f>
        <v>345.13007920615462</v>
      </c>
      <c r="J27" s="497">
        <f>IF(J3&gt;'Project Assumptions'!$I$15+1,0,(MainMWh*(Operations!I25+Operations!I27))*((1+OM_Escal)^(J4-'Project Assumptions'!$N$6))/1000)</f>
        <v>355.48398158233931</v>
      </c>
      <c r="K27" s="497">
        <f>IF(K3&gt;'Project Assumptions'!$I$15+1,0,(MainMWh*(Operations!J25+Operations!J27))*((1+OM_Escal)^(K4-'Project Assumptions'!$N$6))/1000)</f>
        <v>366.14850102980944</v>
      </c>
      <c r="L27" s="497">
        <f>IF(L3&gt;'Project Assumptions'!$I$15+1,0,(MainMWh*(Operations!K25+Operations!K27))*((1+OM_Escal)^(L4-'Project Assumptions'!$N$6))/1000)</f>
        <v>377.13295606070375</v>
      </c>
      <c r="M27" s="497">
        <f>IF(M3&gt;'Project Assumptions'!$I$15+1,0,(MainMWh*(Operations!L25+Operations!L27))*((1+OM_Escal)^(M4-'Project Assumptions'!$N$6))/1000)</f>
        <v>388.44694474252481</v>
      </c>
      <c r="N27" s="497">
        <f>IF(N3&gt;'Project Assumptions'!$I$15+1,0,(MainMWh*(Operations!M25+Operations!M27))*((1+OM_Escal)^(N4-'Project Assumptions'!$N$6))/1000)</f>
        <v>400.10035308480059</v>
      </c>
      <c r="O27" s="497">
        <f>IF(O3&gt;'Project Assumptions'!$I$15+1,0,(MainMWh*(Operations!N25+Operations!N27))*((1+OM_Escal)^(O4-'Project Assumptions'!$N$6))/1000)</f>
        <v>412.10336367734459</v>
      </c>
      <c r="P27" s="497">
        <f>IF(P3&gt;'Project Assumptions'!$I$15+1,0,(MainMWh*(Operations!O25+Operations!O27))*((1+OM_Escal)^(P4-'Project Assumptions'!$N$6))/1000)</f>
        <v>424.46646458766486</v>
      </c>
      <c r="Q27" s="497">
        <f>IF(Q3&gt;'Project Assumptions'!$I$15+1,0,(MainMWh*(Operations!P25+Operations!P27))*((1+OM_Escal)^(Q4-'Project Assumptions'!$N$6))/1000)</f>
        <v>437.20045852529483</v>
      </c>
      <c r="R27" s="497">
        <f>IF(R3&gt;'Project Assumptions'!$I$15+1,0,(MainMWh*(Operations!Q25+Operations!Q27))*((1+OM_Escal)^(R4-'Project Assumptions'!$N$6))/1000)</f>
        <v>450.31647228105373</v>
      </c>
      <c r="S27" s="497">
        <f>IF(S3&gt;'Project Assumptions'!$I$15+1,0,(MainMWh*(Operations!R25+Operations!R27))*((1+OM_Escal)^(S4-'Project Assumptions'!$N$6))/1000)</f>
        <v>463.82596644948529</v>
      </c>
      <c r="T27" s="497">
        <f>IF(T3&gt;'Project Assumptions'!$I$15+1,0,(MainMWh*(Operations!S25+Operations!S27))*((1+OM_Escal)^(T4-'Project Assumptions'!$N$6))/1000)</f>
        <v>477.74074544296985</v>
      </c>
      <c r="U27" s="497">
        <f>IF(U3&gt;'Project Assumptions'!$I$15+1,0,(MainMWh*(Operations!T25+Operations!T27))*((1+OM_Escal)^(U4-'Project Assumptions'!$N$6))/1000)</f>
        <v>492.07296780625893</v>
      </c>
      <c r="V27" s="497">
        <f>IF(V3&gt;'Project Assumptions'!$I$15+1,0,(MainMWh*(Operations!U25+Operations!U27))*((1+OM_Escal)^(V4-'Project Assumptions'!$N$6))/1000)</f>
        <v>506.8351568404467</v>
      </c>
      <c r="W27" s="497">
        <f>IF(W3&gt;'Project Assumptions'!$I$15+1,0,(MainMWh*(Operations!V25+Operations!V27))*((1+OM_Escal)^(W4-'Project Assumptions'!$N$6))/1000)</f>
        <v>522.0402115456601</v>
      </c>
      <c r="X27" s="497">
        <f>IF(X3&gt;'Project Assumptions'!$I$15+1,0,(MainMWh*(Operations!W25+Operations!W27))*((1+OM_Escal)^(X4-'Project Assumptions'!$N$6))/1000)</f>
        <v>537.70141789202989</v>
      </c>
      <c r="Y27" s="497">
        <f>IF(Y3&gt;'Project Assumptions'!$I$15+1,0,(MainMWh*(Operations!X25+Operations!X27))*((1+OM_Escal)^(Y4-'Project Assumptions'!$N$6))/1000)</f>
        <v>0</v>
      </c>
      <c r="Z27" s="497">
        <f>IF(Z3&gt;'Project Assumptions'!$I$15+1,0,(MainMWh*(Operations!Y25+Operations!Y27))*((1+OM_Escal)^(Z4-'Project Assumptions'!$N$6))/1000)</f>
        <v>0</v>
      </c>
      <c r="AA27" s="497">
        <f>IF(AA3&gt;'Project Assumptions'!$I$15+1,0,(MainMWh*(Operations!Z25+Operations!Z27))*((1+OM_Escal)^(AA4-'Project Assumptions'!$N$6))/1000)</f>
        <v>0</v>
      </c>
      <c r="AB27" s="497">
        <f>IF(AB3&gt;'Project Assumptions'!$I$15+1,0,(MainMWh*(Operations!AA25+Operations!AA27))*((1+OM_Escal)^(AB4-'Project Assumptions'!$N$6))/1000)</f>
        <v>0</v>
      </c>
    </row>
    <row r="28" spans="1:28" ht="12.6" customHeight="1">
      <c r="B28" s="468" t="s">
        <v>539</v>
      </c>
      <c r="C28" s="596">
        <f>AVERAGE(D28:W28)</f>
        <v>1056.3027815727166</v>
      </c>
      <c r="D28" s="966">
        <f t="shared" ref="D28:AB28" si="3">SUM(D25:D27)</f>
        <v>767.01319000000012</v>
      </c>
      <c r="E28" s="966">
        <f t="shared" si="3"/>
        <v>790.02358570000001</v>
      </c>
      <c r="F28" s="966">
        <f t="shared" si="3"/>
        <v>813.72429327100008</v>
      </c>
      <c r="G28" s="966">
        <f t="shared" si="3"/>
        <v>856.31745435076652</v>
      </c>
      <c r="H28" s="966">
        <f t="shared" si="3"/>
        <v>887.98345531798645</v>
      </c>
      <c r="I28" s="966">
        <f t="shared" si="3"/>
        <v>914.62295897752608</v>
      </c>
      <c r="J28" s="966">
        <f t="shared" si="3"/>
        <v>942.06164774685192</v>
      </c>
      <c r="K28" s="966">
        <f t="shared" si="3"/>
        <v>970.3234971792574</v>
      </c>
      <c r="L28" s="966">
        <f t="shared" si="3"/>
        <v>999.43320209463513</v>
      </c>
      <c r="M28" s="966">
        <f t="shared" si="3"/>
        <v>1029.4161981574741</v>
      </c>
      <c r="N28" s="966">
        <f t="shared" si="3"/>
        <v>1060.2986841021984</v>
      </c>
      <c r="O28" s="966">
        <f t="shared" si="3"/>
        <v>1092.1076446252641</v>
      </c>
      <c r="P28" s="966">
        <f t="shared" si="3"/>
        <v>1124.8708739640222</v>
      </c>
      <c r="Q28" s="966">
        <f t="shared" si="3"/>
        <v>1158.6170001829428</v>
      </c>
      <c r="R28" s="966">
        <f t="shared" si="3"/>
        <v>1193.3755101884312</v>
      </c>
      <c r="S28" s="966">
        <f t="shared" si="3"/>
        <v>1229.176775494084</v>
      </c>
      <c r="T28" s="966">
        <f t="shared" si="3"/>
        <v>1266.0520787589064</v>
      </c>
      <c r="U28" s="966">
        <f t="shared" si="3"/>
        <v>1304.0336411216736</v>
      </c>
      <c r="V28" s="966">
        <f t="shared" si="3"/>
        <v>1343.1546503553238</v>
      </c>
      <c r="W28" s="966">
        <f t="shared" si="3"/>
        <v>1383.4492898659835</v>
      </c>
      <c r="X28" s="966">
        <f t="shared" si="3"/>
        <v>1424.9527685619628</v>
      </c>
      <c r="Y28" s="966">
        <f t="shared" si="3"/>
        <v>0</v>
      </c>
      <c r="Z28" s="966">
        <f t="shared" si="3"/>
        <v>0</v>
      </c>
      <c r="AA28" s="966">
        <f t="shared" si="3"/>
        <v>0</v>
      </c>
      <c r="AB28" s="967">
        <f t="shared" si="3"/>
        <v>0</v>
      </c>
    </row>
    <row r="29" spans="1:28" ht="12.6" customHeight="1">
      <c r="B29" s="468" t="s">
        <v>532</v>
      </c>
      <c r="C29" s="425"/>
      <c r="D29" s="932">
        <f t="shared" ref="D29:AB29" si="4">D23+D28</f>
        <v>17464.367566946341</v>
      </c>
      <c r="E29" s="932">
        <f t="shared" si="4"/>
        <v>17493.394733227429</v>
      </c>
      <c r="F29" s="932">
        <f t="shared" si="4"/>
        <v>17517.389135594982</v>
      </c>
      <c r="G29" s="932">
        <f t="shared" si="4"/>
        <v>17922.682118034641</v>
      </c>
      <c r="H29" s="932">
        <f t="shared" si="4"/>
        <v>18070.522759838575</v>
      </c>
      <c r="I29" s="932">
        <f t="shared" si="4"/>
        <v>18097.080511474462</v>
      </c>
      <c r="J29" s="932">
        <f t="shared" si="4"/>
        <v>18124.570286710124</v>
      </c>
      <c r="K29" s="932">
        <f t="shared" si="4"/>
        <v>18153.200026203362</v>
      </c>
      <c r="L29" s="932">
        <f t="shared" si="4"/>
        <v>18182.688657881394</v>
      </c>
      <c r="M29" s="932">
        <f t="shared" si="4"/>
        <v>18213.061948509763</v>
      </c>
      <c r="N29" s="932">
        <f t="shared" si="4"/>
        <v>18244.346437856988</v>
      </c>
      <c r="O29" s="932">
        <f t="shared" si="4"/>
        <v>18276.569461884625</v>
      </c>
      <c r="P29" s="932">
        <f t="shared" si="4"/>
        <v>18309.759176633095</v>
      </c>
      <c r="Q29" s="932">
        <f t="shared" si="4"/>
        <v>18343.944582824017</v>
      </c>
      <c r="R29" s="932">
        <f t="shared" si="4"/>
        <v>18379.155551200671</v>
      </c>
      <c r="S29" s="932">
        <f t="shared" si="4"/>
        <v>18415.422848628619</v>
      </c>
      <c r="T29" s="932">
        <f t="shared" si="4"/>
        <v>18452.778164979405</v>
      </c>
      <c r="U29" s="932">
        <f t="shared" si="4"/>
        <v>18491.254140820722</v>
      </c>
      <c r="V29" s="932">
        <f t="shared" si="4"/>
        <v>18530.884395937275</v>
      </c>
      <c r="W29" s="932">
        <f t="shared" si="4"/>
        <v>18571.703558707322</v>
      </c>
      <c r="X29" s="932">
        <f t="shared" si="4"/>
        <v>18609.045699691389</v>
      </c>
      <c r="Y29" s="932">
        <f t="shared" si="4"/>
        <v>0</v>
      </c>
      <c r="Z29" s="932">
        <f t="shared" si="4"/>
        <v>0</v>
      </c>
      <c r="AA29" s="932">
        <f t="shared" si="4"/>
        <v>0</v>
      </c>
      <c r="AB29" s="933">
        <f t="shared" si="4"/>
        <v>0</v>
      </c>
    </row>
    <row r="30" spans="1:28" ht="12.6" customHeight="1">
      <c r="B30" s="449"/>
      <c r="C30" s="425"/>
      <c r="D30" s="454"/>
      <c r="E30" s="454"/>
      <c r="F30" s="454"/>
      <c r="G30" s="454"/>
      <c r="H30" s="454"/>
      <c r="I30" s="454"/>
      <c r="J30" s="454"/>
      <c r="K30" s="454"/>
      <c r="L30" s="454"/>
      <c r="M30" s="454"/>
      <c r="N30" s="454"/>
      <c r="O30" s="454"/>
      <c r="P30" s="454"/>
      <c r="Q30" s="454"/>
      <c r="R30" s="454"/>
      <c r="S30" s="454"/>
      <c r="T30" s="454"/>
      <c r="U30" s="454"/>
      <c r="V30" s="454"/>
      <c r="W30" s="454"/>
      <c r="X30" s="454"/>
      <c r="Y30" s="454"/>
      <c r="Z30" s="454"/>
      <c r="AA30" s="454"/>
      <c r="AB30" s="455"/>
    </row>
    <row r="31" spans="1:28" ht="12.6" customHeight="1">
      <c r="B31" s="468" t="s">
        <v>522</v>
      </c>
      <c r="C31" s="425"/>
      <c r="D31" s="454"/>
      <c r="E31" s="454"/>
      <c r="F31" s="454"/>
      <c r="G31" s="454"/>
      <c r="H31" s="454"/>
      <c r="I31" s="454"/>
      <c r="J31" s="454"/>
      <c r="K31" s="454"/>
      <c r="L31" s="454"/>
      <c r="M31" s="454"/>
      <c r="N31" s="454"/>
      <c r="O31" s="454"/>
      <c r="P31" s="454"/>
      <c r="Q31" s="454"/>
      <c r="R31" s="454"/>
      <c r="S31" s="454"/>
      <c r="T31" s="454"/>
      <c r="U31" s="454"/>
      <c r="V31" s="454"/>
      <c r="W31" s="454"/>
      <c r="X31" s="454"/>
      <c r="Y31" s="454"/>
      <c r="Z31" s="454"/>
      <c r="AA31" s="454"/>
      <c r="AB31" s="455"/>
    </row>
    <row r="32" spans="1:28" ht="12.6" customHeight="1">
      <c r="A32" s="1">
        <v>4</v>
      </c>
      <c r="B32" s="469" t="s">
        <v>523</v>
      </c>
      <c r="C32" s="426">
        <f>AVERAGE(D32:W32)</f>
        <v>0</v>
      </c>
      <c r="D32" s="495">
        <f>IF(D3&gt;ProjectLife+1,0,Fuel_Start*'Project Assumptions'!$L$16/1000)</f>
        <v>0</v>
      </c>
      <c r="E32" s="495">
        <f>IF(E3&gt;ProjectLife+1,0,Fuel_Start*'Project Assumptions'!$L$16/1000)</f>
        <v>0</v>
      </c>
      <c r="F32" s="495">
        <f>IF(F3&gt;ProjectLife+1,0,Fuel_Start*'Project Assumptions'!$L$16/1000)</f>
        <v>0</v>
      </c>
      <c r="G32" s="495">
        <f>IF(G3&gt;ProjectLife+1,0,Fuel_Start*'Project Assumptions'!$L$16/1000)</f>
        <v>0</v>
      </c>
      <c r="H32" s="495">
        <f>IF(H3&gt;ProjectLife+1,0,Fuel_Start*'Project Assumptions'!$L$16/1000)</f>
        <v>0</v>
      </c>
      <c r="I32" s="495">
        <f>IF(I3&gt;ProjectLife+1,0,Fuel_Start*'Project Assumptions'!$L$16/1000)</f>
        <v>0</v>
      </c>
      <c r="J32" s="495">
        <f>IF(J3&gt;ProjectLife+1,0,Fuel_Start*'Project Assumptions'!$L$16/1000)</f>
        <v>0</v>
      </c>
      <c r="K32" s="495">
        <f>IF(K3&gt;ProjectLife+1,0,Fuel_Start*'Project Assumptions'!$L$16/1000)</f>
        <v>0</v>
      </c>
      <c r="L32" s="495">
        <f>IF(L3&gt;ProjectLife+1,0,Fuel_Start*'Project Assumptions'!$L$16/1000)</f>
        <v>0</v>
      </c>
      <c r="M32" s="495">
        <f>IF(M3&gt;ProjectLife+1,0,Fuel_Start*'Project Assumptions'!$L$16/1000)</f>
        <v>0</v>
      </c>
      <c r="N32" s="495">
        <f>IF(N3&gt;ProjectLife+1,0,Fuel_Start*'Project Assumptions'!$L$16/1000)</f>
        <v>0</v>
      </c>
      <c r="O32" s="495">
        <f>IF(O3&gt;ProjectLife+1,0,Fuel_Start*'Project Assumptions'!$L$16/1000)</f>
        <v>0</v>
      </c>
      <c r="P32" s="495">
        <f>IF(P3&gt;ProjectLife+1,0,Fuel_Start*'Project Assumptions'!$L$16/1000)</f>
        <v>0</v>
      </c>
      <c r="Q32" s="495">
        <f>IF(Q3&gt;ProjectLife+1,0,Fuel_Start*'Project Assumptions'!$L$16/1000)</f>
        <v>0</v>
      </c>
      <c r="R32" s="495">
        <f>IF(R3&gt;ProjectLife+1,0,Fuel_Start*'Project Assumptions'!$L$16/1000)</f>
        <v>0</v>
      </c>
      <c r="S32" s="495">
        <f>IF(S3&gt;ProjectLife+1,0,Fuel_Start*'Project Assumptions'!$L$16/1000)</f>
        <v>0</v>
      </c>
      <c r="T32" s="495">
        <f>IF(T3&gt;ProjectLife+1,0,Fuel_Start*'Project Assumptions'!$L$16/1000)</f>
        <v>0</v>
      </c>
      <c r="U32" s="495">
        <f>IF(U3&gt;ProjectLife+1,0,Fuel_Start*'Project Assumptions'!$L$16/1000)</f>
        <v>0</v>
      </c>
      <c r="V32" s="495">
        <f>IF(V3&gt;ProjectLife+1,0,Fuel_Start*'Project Assumptions'!$L$16/1000)</f>
        <v>0</v>
      </c>
      <c r="W32" s="495">
        <f>IF(W3&gt;ProjectLife+1,0,Fuel_Start*'Project Assumptions'!$L$16/1000)</f>
        <v>0</v>
      </c>
      <c r="X32" s="495">
        <f>IF(X3&gt;ProjectLife+1,0,Fuel_Start*'Project Assumptions'!$L$16/1000)</f>
        <v>0</v>
      </c>
      <c r="Y32" s="495">
        <f>IF(Y3&gt;ProjectLife+1,0,Fuel_Start*'Project Assumptions'!$L$16/1000)</f>
        <v>0</v>
      </c>
      <c r="Z32" s="495">
        <f>IF(Z3&gt;ProjectLife+1,0,Fuel_Start*'Project Assumptions'!$L$16/1000)</f>
        <v>0</v>
      </c>
      <c r="AA32" s="495">
        <f>IF(AA3&gt;ProjectLife+1,0,Fuel_Start*'Project Assumptions'!$L$16/1000)</f>
        <v>0</v>
      </c>
      <c r="AB32" s="496">
        <f>IF(AB3&gt;ProjectLife+1,0,Fuel_Start*'Project Assumptions'!$L$16/1000)</f>
        <v>0</v>
      </c>
    </row>
    <row r="33" spans="1:28" ht="12.6" customHeight="1">
      <c r="A33" s="1">
        <v>5</v>
      </c>
      <c r="B33" s="449" t="s">
        <v>122</v>
      </c>
      <c r="C33" s="429">
        <f>AVERAGE(D33:W33)</f>
        <v>3177.8694437609256</v>
      </c>
      <c r="D33" s="497">
        <f>IF(D3&gt;ProjectLife+1,0,Main_Start*'Project Assumptions'!$L$15*((1+Main_Escal)^(D4-'Project Assumptions'!$N$6))/1000)</f>
        <v>2365.3332</v>
      </c>
      <c r="E33" s="497">
        <f>IF(E3&gt;ProjectLife+1,0,Main_Start*'Project Assumptions'!$L$15*((1+Main_Escal)^(E4-'Project Assumptions'!$N$6))/1000)</f>
        <v>2436.2931960000001</v>
      </c>
      <c r="F33" s="497">
        <f>IF(F3&gt;ProjectLife+1,0,Main_Start*'Project Assumptions'!$L$15*((1+Main_Escal)^(F4-'Project Assumptions'!$N$6))/1000)</f>
        <v>2509.38199188</v>
      </c>
      <c r="G33" s="497">
        <f>IF(G3&gt;ProjectLife+1,0,Main_Start*'Project Assumptions'!$L$15*((1+Main_Escal)^(G4-'Project Assumptions'!$N$6))/1000)</f>
        <v>2584.6634516363997</v>
      </c>
      <c r="H33" s="497">
        <f>IF(H3&gt;ProjectLife+1,0,Main_Start*'Project Assumptions'!$L$15*((1+Main_Escal)^(H4-'Project Assumptions'!$N$6))/1000)</f>
        <v>2662.2033551854915</v>
      </c>
      <c r="I33" s="497">
        <f>IF(I3&gt;ProjectLife+1,0,Main_Start*'Project Assumptions'!$L$15*((1+Main_Escal)^(I4-'Project Assumptions'!$N$6))/1000)</f>
        <v>2742.0694558410564</v>
      </c>
      <c r="J33" s="497">
        <f>IF(J3&gt;ProjectLife+1,0,Main_Start*'Project Assumptions'!$L$15*((1+Main_Escal)^(J4-'Project Assumptions'!$N$6))/1000)</f>
        <v>2824.3315395162881</v>
      </c>
      <c r="K33" s="497">
        <f>IF(K3&gt;ProjectLife+1,0,Main_Start*'Project Assumptions'!$L$15*((1+Main_Escal)^(K4-'Project Assumptions'!$N$6))/1000)</f>
        <v>2909.0614857017767</v>
      </c>
      <c r="L33" s="497">
        <f>IF(L3&gt;ProjectLife+1,0,Main_Start*'Project Assumptions'!$L$15*((1+Main_Escal)^(L4-'Project Assumptions'!$N$6))/1000)</f>
        <v>2996.3333302728302</v>
      </c>
      <c r="M33" s="497">
        <f>IF(M3&gt;ProjectLife+1,0,Main_Start*'Project Assumptions'!$L$15*((1+Main_Escal)^(M4-'Project Assumptions'!$N$6))/1000)</f>
        <v>3086.2233301810152</v>
      </c>
      <c r="N33" s="497">
        <f>IF(N3&gt;ProjectLife+1,0,Main_Start*'Project Assumptions'!$L$15*((1+Main_Escal)^(N4-'Project Assumptions'!$N$6))/1000)</f>
        <v>3178.8100300864457</v>
      </c>
      <c r="O33" s="497">
        <f>IF(O3&gt;ProjectLife+1,0,Main_Start*'Project Assumptions'!$L$15*((1+Main_Escal)^(O4-'Project Assumptions'!$N$6))/1000)</f>
        <v>3274.1743309890385</v>
      </c>
      <c r="P33" s="497">
        <f>IF(P3&gt;ProjectLife+1,0,Main_Start*'Project Assumptions'!$L$15*((1+Main_Escal)^(P4-'Project Assumptions'!$N$6))/1000)</f>
        <v>3372.3995609187091</v>
      </c>
      <c r="Q33" s="497">
        <f>IF(Q3&gt;ProjectLife+1,0,Main_Start*'Project Assumptions'!$L$15*((1+Main_Escal)^(Q4-'Project Assumptions'!$N$6))/1000)</f>
        <v>3473.5715477462709</v>
      </c>
      <c r="R33" s="497">
        <f>IF(R3&gt;ProjectLife+1,0,Main_Start*'Project Assumptions'!$L$15*((1+Main_Escal)^(R4-'Project Assumptions'!$N$6))/1000)</f>
        <v>3577.7786941786594</v>
      </c>
      <c r="S33" s="497">
        <f>IF(S3&gt;ProjectLife+1,0,Main_Start*'Project Assumptions'!$L$15*((1+Main_Escal)^(S4-'Project Assumptions'!$N$6))/1000)</f>
        <v>3685.1120550040182</v>
      </c>
      <c r="T33" s="497">
        <f>IF(T3&gt;ProjectLife+1,0,Main_Start*'Project Assumptions'!$L$15*((1+Main_Escal)^(T4-'Project Assumptions'!$N$6))/1000)</f>
        <v>3795.6654166541393</v>
      </c>
      <c r="U33" s="497">
        <f>IF(U3&gt;ProjectLife+1,0,Main_Start*'Project Assumptions'!$L$15*((1+Main_Escal)^(U4-'Project Assumptions'!$N$6))/1000)</f>
        <v>3909.5353791537632</v>
      </c>
      <c r="V33" s="497">
        <f>IF(V3&gt;ProjectLife+1,0,Main_Start*'Project Assumptions'!$L$15*((1+Main_Escal)^(V4-'Project Assumptions'!$N$6))/1000)</f>
        <v>4026.8214405283761</v>
      </c>
      <c r="W33" s="497">
        <f>IF(W3&gt;ProjectLife+1,0,Main_Start*'Project Assumptions'!$L$15*((1+Main_Escal)^(W4-'Project Assumptions'!$N$6))/1000)</f>
        <v>4147.6260837442278</v>
      </c>
      <c r="X33" s="497">
        <f>IF(X3&gt;ProjectLife+1,0,Main_Start*'Project Assumptions'!$L$15*((1+Main_Escal)^(X4-'Project Assumptions'!$N$6))/1000)</f>
        <v>4272.0548662565534</v>
      </c>
      <c r="Y33" s="497">
        <f>IF(Y3&gt;ProjectLife+1,0,Main_Start*'Project Assumptions'!$L$15*((1+Main_Escal)^(Y4-'Project Assumptions'!$N$6))/1000)</f>
        <v>0</v>
      </c>
      <c r="Z33" s="497">
        <f>IF(Z3&gt;ProjectLife+1,0,Main_Start*'Project Assumptions'!$L$15*((1+Main_Escal)^(Z4-'Project Assumptions'!$N$6))/1000)</f>
        <v>0</v>
      </c>
      <c r="AA33" s="497">
        <f>IF(AA3&gt;ProjectLife+1,0,Main_Start*'Project Assumptions'!$L$15*((1+Main_Escal)^(AA4-'Project Assumptions'!$N$6))/1000)</f>
        <v>0</v>
      </c>
      <c r="AB33" s="498">
        <f>IF(AB3&gt;ProjectLife+1,0,Main_Start*'Project Assumptions'!$L$15*((1+Main_Escal)^(AB4-'Project Assumptions'!$N$6))/1000)</f>
        <v>0</v>
      </c>
    </row>
    <row r="34" spans="1:28" ht="12.6" customHeight="1">
      <c r="B34" s="468" t="s">
        <v>524</v>
      </c>
      <c r="C34" s="425"/>
      <c r="D34" s="934">
        <f>SUM(D32:D33)</f>
        <v>2365.3332</v>
      </c>
      <c r="E34" s="934">
        <f t="shared" ref="E34:AB34" si="5">SUM(E32:E33)</f>
        <v>2436.2931960000001</v>
      </c>
      <c r="F34" s="934">
        <f t="shared" si="5"/>
        <v>2509.38199188</v>
      </c>
      <c r="G34" s="934">
        <f t="shared" si="5"/>
        <v>2584.6634516363997</v>
      </c>
      <c r="H34" s="934">
        <f t="shared" si="5"/>
        <v>2662.2033551854915</v>
      </c>
      <c r="I34" s="934">
        <f t="shared" si="5"/>
        <v>2742.0694558410564</v>
      </c>
      <c r="J34" s="934">
        <f t="shared" si="5"/>
        <v>2824.3315395162881</v>
      </c>
      <c r="K34" s="934">
        <f t="shared" si="5"/>
        <v>2909.0614857017767</v>
      </c>
      <c r="L34" s="934">
        <f t="shared" si="5"/>
        <v>2996.3333302728302</v>
      </c>
      <c r="M34" s="934">
        <f t="shared" si="5"/>
        <v>3086.2233301810152</v>
      </c>
      <c r="N34" s="934">
        <f t="shared" si="5"/>
        <v>3178.8100300864457</v>
      </c>
      <c r="O34" s="934">
        <f t="shared" si="5"/>
        <v>3274.1743309890385</v>
      </c>
      <c r="P34" s="934">
        <f t="shared" si="5"/>
        <v>3372.3995609187091</v>
      </c>
      <c r="Q34" s="934">
        <f t="shared" si="5"/>
        <v>3473.5715477462709</v>
      </c>
      <c r="R34" s="934">
        <f t="shared" si="5"/>
        <v>3577.7786941786594</v>
      </c>
      <c r="S34" s="934">
        <f t="shared" si="5"/>
        <v>3685.1120550040182</v>
      </c>
      <c r="T34" s="934">
        <f t="shared" si="5"/>
        <v>3795.6654166541393</v>
      </c>
      <c r="U34" s="934">
        <f t="shared" si="5"/>
        <v>3909.5353791537632</v>
      </c>
      <c r="V34" s="934">
        <f t="shared" si="5"/>
        <v>4026.8214405283761</v>
      </c>
      <c r="W34" s="934">
        <f t="shared" si="5"/>
        <v>4147.6260837442278</v>
      </c>
      <c r="X34" s="934">
        <f t="shared" si="5"/>
        <v>4272.0548662565534</v>
      </c>
      <c r="Y34" s="934">
        <f t="shared" si="5"/>
        <v>0</v>
      </c>
      <c r="Z34" s="934">
        <f t="shared" si="5"/>
        <v>0</v>
      </c>
      <c r="AA34" s="934">
        <f t="shared" si="5"/>
        <v>0</v>
      </c>
      <c r="AB34" s="935">
        <f t="shared" si="5"/>
        <v>0</v>
      </c>
    </row>
    <row r="35" spans="1:28" ht="12.6" customHeight="1">
      <c r="B35" s="449"/>
      <c r="C35" s="425"/>
      <c r="D35" s="454"/>
      <c r="E35" s="454"/>
      <c r="F35" s="454"/>
      <c r="G35" s="454"/>
      <c r="H35" s="454"/>
      <c r="I35" s="454"/>
      <c r="J35" s="454"/>
      <c r="K35" s="454"/>
      <c r="L35" s="454"/>
      <c r="M35" s="454"/>
      <c r="N35" s="454"/>
      <c r="O35" s="454"/>
      <c r="P35" s="454"/>
      <c r="Q35" s="454"/>
      <c r="R35" s="454"/>
      <c r="S35" s="454"/>
      <c r="T35" s="454"/>
      <c r="U35" s="454"/>
      <c r="V35" s="454"/>
      <c r="W35" s="454"/>
      <c r="X35" s="454"/>
      <c r="Y35" s="454"/>
      <c r="Z35" s="454"/>
      <c r="AA35" s="454"/>
      <c r="AB35" s="455"/>
    </row>
    <row r="36" spans="1:28" ht="12.6" customHeight="1">
      <c r="B36" s="468" t="s">
        <v>521</v>
      </c>
      <c r="C36" s="425"/>
      <c r="D36" s="454"/>
      <c r="E36" s="454"/>
      <c r="F36" s="454"/>
      <c r="G36" s="454"/>
      <c r="H36" s="454"/>
      <c r="I36" s="454"/>
      <c r="J36" s="454"/>
      <c r="K36" s="454"/>
      <c r="L36" s="454"/>
      <c r="M36" s="454"/>
      <c r="N36" s="454"/>
      <c r="O36" s="454"/>
      <c r="P36" s="454"/>
      <c r="Q36" s="454"/>
      <c r="R36" s="454"/>
      <c r="S36" s="454"/>
      <c r="T36" s="454"/>
      <c r="U36" s="454"/>
      <c r="V36" s="454"/>
      <c r="W36" s="454"/>
      <c r="X36" s="454"/>
      <c r="Y36" s="454"/>
      <c r="Z36" s="454"/>
      <c r="AA36" s="454"/>
      <c r="AB36" s="455"/>
    </row>
    <row r="37" spans="1:28" ht="12.6" customHeight="1">
      <c r="A37" s="1">
        <v>2</v>
      </c>
      <c r="B37" s="449" t="s">
        <v>360</v>
      </c>
      <c r="C37" s="426">
        <f>AVERAGE(D37:W37)</f>
        <v>990.4400477213394</v>
      </c>
      <c r="D37" s="450">
        <f>Labor*(1+OM_Escal)*('Book Income Statement'!D6/12)</f>
        <v>436.8058333333334</v>
      </c>
      <c r="E37" s="450">
        <f>IF(E3&gt;'Project Assumptions'!$I$15+1+1,0,Labor*((1+'Project Assumptions'!$N$40)^(E4-'Project Assumptions'!$N$6))*E5/12)</f>
        <v>771.27429999999993</v>
      </c>
      <c r="F37" s="450">
        <f>IF(F3&gt;'Project Assumptions'!$I$15+1+1,0,Labor*((1+'Project Assumptions'!$N$40)^(F4-'Project Assumptions'!$N$6))*F5/12)</f>
        <v>794.41252899999984</v>
      </c>
      <c r="G37" s="450">
        <f>IF(G3&gt;'Project Assumptions'!$I$15+1+1,0,Labor*((1+'Project Assumptions'!$N$40)^(G4-'Project Assumptions'!$N$6))*G5/12)</f>
        <v>818.24490486999991</v>
      </c>
      <c r="H37" s="450">
        <f>IF(H3&gt;'Project Assumptions'!$I$15+1+1,0,Labor*((1+'Project Assumptions'!$N$40)^(H4-'Project Assumptions'!$N$6))*H5/12)</f>
        <v>842.79225201609972</v>
      </c>
      <c r="I37" s="450">
        <f>IF(I3&gt;'Project Assumptions'!$I$15+1+1,0,Labor*((1+'Project Assumptions'!$N$40)^(I4-'Project Assumptions'!$N$6))*I5/12)</f>
        <v>868.07601957658289</v>
      </c>
      <c r="J37" s="450">
        <f>IF(J3&gt;'Project Assumptions'!$I$15+1+1,0,Labor*((1+'Project Assumptions'!$N$40)^(J4-'Project Assumptions'!$N$6))*J5/12)</f>
        <v>894.11830016388046</v>
      </c>
      <c r="K37" s="450">
        <f>IF(K3&gt;'Project Assumptions'!$I$15+1+1,0,Labor*((1+'Project Assumptions'!$N$40)^(K4-'Project Assumptions'!$N$6))*K5/12)</f>
        <v>920.94184916879692</v>
      </c>
      <c r="L37" s="450">
        <f>IF(L3&gt;'Project Assumptions'!$I$15+1+1,0,Labor*((1+'Project Assumptions'!$N$40)^(L4-'Project Assumptions'!$N$6))*L5/12)</f>
        <v>948.57010464386076</v>
      </c>
      <c r="M37" s="450">
        <f>IF(M3&gt;'Project Assumptions'!$I$15+1+1,0,Labor*((1+'Project Assumptions'!$N$40)^(M4-'Project Assumptions'!$N$6))*M5/12)</f>
        <v>977.02720778317655</v>
      </c>
      <c r="N37" s="450">
        <f>IF(N3&gt;'Project Assumptions'!$I$15+1+1,0,Labor*((1+'Project Assumptions'!$N$40)^(N4-'Project Assumptions'!$N$6))*N5/12)</f>
        <v>1006.338024016672</v>
      </c>
      <c r="O37" s="450">
        <f>IF(O3&gt;'Project Assumptions'!$I$15+1+1,0,Labor*((1+'Project Assumptions'!$N$40)^(O4-'Project Assumptions'!$N$6))*O5/12)</f>
        <v>1036.5281647371719</v>
      </c>
      <c r="P37" s="450">
        <f>IF(P3&gt;'Project Assumptions'!$I$15+1+1,0,Labor*((1+'Project Assumptions'!$N$40)^(P4-'Project Assumptions'!$N$6))*P5/12)</f>
        <v>1067.6240096792869</v>
      </c>
      <c r="Q37" s="450">
        <f>IF(Q3&gt;'Project Assumptions'!$I$15+1+1,0,Labor*((1+'Project Assumptions'!$N$40)^(Q4-'Project Assumptions'!$N$6))*Q5/12)</f>
        <v>1099.6527299696656</v>
      </c>
      <c r="R37" s="450">
        <f>IF(R3&gt;'Project Assumptions'!$I$15+1+1,0,Labor*((1+'Project Assumptions'!$N$40)^(R4-'Project Assumptions'!$N$6))*R5/12)</f>
        <v>1132.6423118687558</v>
      </c>
      <c r="S37" s="450">
        <f>IF(S3&gt;'Project Assumptions'!$I$15+1+1,0,Labor*((1+'Project Assumptions'!$N$40)^(S4-'Project Assumptions'!$N$6))*S5/12)</f>
        <v>1166.6215812248181</v>
      </c>
      <c r="T37" s="450">
        <f>IF(T3&gt;'Project Assumptions'!$I$15+1+1,0,Labor*((1+'Project Assumptions'!$N$40)^(T4-'Project Assumptions'!$N$6))*T5/12)</f>
        <v>1201.6202286615628</v>
      </c>
      <c r="U37" s="450">
        <f>IF(U3&gt;'Project Assumptions'!$I$15+1+1,0,Labor*((1+'Project Assumptions'!$N$40)^(U4-'Project Assumptions'!$N$6))*U5/12)</f>
        <v>1237.6688355214096</v>
      </c>
      <c r="V37" s="450">
        <f>IF(V3&gt;'Project Assumptions'!$I$15+1+1,0,Labor*((1+'Project Assumptions'!$N$40)^(V4-'Project Assumptions'!$N$6))*V5/12)</f>
        <v>1274.798900587052</v>
      </c>
      <c r="W37" s="450">
        <f>IF(W3&gt;'Project Assumptions'!$I$15+1+1,0,Labor*((1+'Project Assumptions'!$N$40)^(W4-'Project Assumptions'!$N$6))*W5/12)</f>
        <v>1313.0428676046633</v>
      </c>
      <c r="X37" s="450">
        <f>IF(X3&gt;'Project Assumptions'!$I$15+1+1,0,Labor*((1+'Project Assumptions'!$N$40)^(X4-'Project Assumptions'!$N$6))*X5/12)</f>
        <v>563.51423068033466</v>
      </c>
      <c r="Y37" s="450">
        <f>IF(Y3&gt;'Project Assumptions'!$I$15+1+1,0,Labor*((1+'Project Assumptions'!$N$40)^(Y4-'Project Assumptions'!$N$6))*Y5/12)</f>
        <v>0</v>
      </c>
      <c r="Z37" s="450">
        <f>IF(Z3&gt;'Project Assumptions'!$I$15+1+1,0,Labor*((1+'Project Assumptions'!$N$40)^(Z4-'Project Assumptions'!$N$6))*Z5/12)</f>
        <v>0</v>
      </c>
      <c r="AA37" s="450">
        <f>IF(AA3&gt;'Project Assumptions'!$I$15+1+1,0,Labor*((1+'Project Assumptions'!$N$40)^(AA4-'Project Assumptions'!$N$6))*AA5/12)</f>
        <v>0</v>
      </c>
      <c r="AB37" s="451">
        <f>IF(AB3&gt;'Project Assumptions'!$I$15+1+1,0,Labor*((1+'Project Assumptions'!$N$40)^(AB4-'Project Assumptions'!$N$6))*AB5/12)</f>
        <v>0</v>
      </c>
    </row>
    <row r="38" spans="1:28" ht="12.6" customHeight="1">
      <c r="A38" s="1">
        <v>2</v>
      </c>
      <c r="B38" s="449" t="s">
        <v>361</v>
      </c>
      <c r="C38" s="427">
        <f t="shared" ref="C38:C50" si="6">AVERAGE(D38:W38)</f>
        <v>367.83880726927322</v>
      </c>
      <c r="D38" s="450">
        <f>Fixed*(1+OM_Escal)*('Book Income Statement'!D6/12)</f>
        <v>162.22500000000002</v>
      </c>
      <c r="E38" s="450">
        <f>IF(E3&gt;'Project Assumptions'!$I$15+1+1,0,Fixed*((1+'Project Assumptions'!$N$40)^(E4-'Project Assumptions'!$N$6))*E5/12)</f>
        <v>286.44299999999998</v>
      </c>
      <c r="F38" s="450">
        <f>IF(F3&gt;'Project Assumptions'!$I$15+1+1,0,Fixed*((1+'Project Assumptions'!$N$40)^(F4-'Project Assumptions'!$N$6))*F5/12)</f>
        <v>295.03629000000001</v>
      </c>
      <c r="G38" s="450">
        <f>IF(G3&gt;'Project Assumptions'!$I$15+1+1,0,Fixed*((1+'Project Assumptions'!$N$40)^(G4-'Project Assumptions'!$N$6))*G5/12)</f>
        <v>303.8873787</v>
      </c>
      <c r="H38" s="450">
        <f>IF(H3&gt;'Project Assumptions'!$I$15+1+1,0,Fixed*((1+'Project Assumptions'!$N$40)^(H4-'Project Assumptions'!$N$6))*H5/12)</f>
        <v>313.00400006099994</v>
      </c>
      <c r="I38" s="450">
        <f>IF(I3&gt;'Project Assumptions'!$I$15+1+1,0,Fixed*((1+'Project Assumptions'!$N$40)^(I4-'Project Assumptions'!$N$6))*I5/12)</f>
        <v>322.39412006282998</v>
      </c>
      <c r="J38" s="450">
        <f>IF(J3&gt;'Project Assumptions'!$I$15+1+1,0,Fixed*((1+'Project Assumptions'!$N$40)^(J4-'Project Assumptions'!$N$6))*J5/12)</f>
        <v>332.06594366471489</v>
      </c>
      <c r="K38" s="450">
        <f>IF(K3&gt;'Project Assumptions'!$I$15+1+1,0,Fixed*((1+'Project Assumptions'!$N$40)^(K4-'Project Assumptions'!$N$6))*K5/12)</f>
        <v>342.02792197465629</v>
      </c>
      <c r="L38" s="450">
        <f>IF(L3&gt;'Project Assumptions'!$I$15+1+1,0,Fixed*((1+'Project Assumptions'!$N$40)^(L4-'Project Assumptions'!$N$6))*L5/12)</f>
        <v>352.28875963389601</v>
      </c>
      <c r="M38" s="450">
        <f>IF(M3&gt;'Project Assumptions'!$I$15+1+1,0,Fixed*((1+'Project Assumptions'!$N$40)^(M4-'Project Assumptions'!$N$6))*M5/12)</f>
        <v>362.85742242291286</v>
      </c>
      <c r="N38" s="450">
        <f>IF(N3&gt;'Project Assumptions'!$I$15+1+1,0,Fixed*((1+'Project Assumptions'!$N$40)^(N4-'Project Assumptions'!$N$6))*N5/12)</f>
        <v>373.74314509560025</v>
      </c>
      <c r="O38" s="450">
        <f>IF(O3&gt;'Project Assumptions'!$I$15+1+1,0,Fixed*((1+'Project Assumptions'!$N$40)^(O4-'Project Assumptions'!$N$6))*O5/12)</f>
        <v>384.95543944846821</v>
      </c>
      <c r="P38" s="450">
        <f>IF(P3&gt;'Project Assumptions'!$I$15+1+1,0,Fixed*((1+'Project Assumptions'!$N$40)^(P4-'Project Assumptions'!$N$6))*P5/12)</f>
        <v>396.50410263192225</v>
      </c>
      <c r="Q38" s="450">
        <f>IF(Q3&gt;'Project Assumptions'!$I$15+1+1,0,Fixed*((1+'Project Assumptions'!$N$40)^(Q4-'Project Assumptions'!$N$6))*Q5/12)</f>
        <v>408.39922571087999</v>
      </c>
      <c r="R38" s="450">
        <f>IF(R3&gt;'Project Assumptions'!$I$15+1+1,0,Fixed*((1+'Project Assumptions'!$N$40)^(R4-'Project Assumptions'!$N$6))*R5/12)</f>
        <v>420.65120248220637</v>
      </c>
      <c r="S38" s="450">
        <f>IF(S3&gt;'Project Assumptions'!$I$15+1+1,0,Fixed*((1+'Project Assumptions'!$N$40)^(S4-'Project Assumptions'!$N$6))*S5/12)</f>
        <v>433.27073855667248</v>
      </c>
      <c r="T38" s="450">
        <f>IF(T3&gt;'Project Assumptions'!$I$15+1+1,0,Fixed*((1+'Project Assumptions'!$N$40)^(T4-'Project Assumptions'!$N$6))*T5/12)</f>
        <v>446.2688607133727</v>
      </c>
      <c r="U38" s="450">
        <f>IF(U3&gt;'Project Assumptions'!$I$15+1+1,0,Fixed*((1+'Project Assumptions'!$N$40)^(U4-'Project Assumptions'!$N$6))*U5/12)</f>
        <v>459.65692653477385</v>
      </c>
      <c r="V38" s="450">
        <f>IF(V3&gt;'Project Assumptions'!$I$15+1+1,0,Fixed*((1+'Project Assumptions'!$N$40)^(V4-'Project Assumptions'!$N$6))*V5/12)</f>
        <v>473.44663433081706</v>
      </c>
      <c r="W38" s="450">
        <f>IF(W3&gt;'Project Assumptions'!$I$15+1+1,0,Fixed*((1+'Project Assumptions'!$N$40)^(W4-'Project Assumptions'!$N$6))*W5/12)</f>
        <v>487.65003336074159</v>
      </c>
      <c r="X38" s="450">
        <f>IF(X3&gt;'Project Assumptions'!$I$15+1+1,0,Fixed*((1+'Project Assumptions'!$N$40)^(X4-'Project Assumptions'!$N$6))*X5/12)</f>
        <v>209.28313931731824</v>
      </c>
      <c r="Y38" s="450">
        <f>IF(Y3&gt;'Project Assumptions'!$I$15+1+1,0,Fixed*((1+'Project Assumptions'!$N$40)^(Y4-'Project Assumptions'!$N$6))*Y5/12)</f>
        <v>0</v>
      </c>
      <c r="Z38" s="450">
        <f>IF(Z3&gt;'Project Assumptions'!$I$15+1+1,0,Fixed*((1+'Project Assumptions'!$N$40)^(Z4-'Project Assumptions'!$N$6))*Z5/12)</f>
        <v>0</v>
      </c>
      <c r="AA38" s="450">
        <f>IF(AA3&gt;'Project Assumptions'!$I$15+1+1,0,Fixed*((1+'Project Assumptions'!$N$40)^(AA4-'Project Assumptions'!$N$6))*AA5/12)</f>
        <v>0</v>
      </c>
      <c r="AB38" s="451">
        <f>IF(AB3&gt;'Project Assumptions'!$I$15+1+1,0,Fixed*((1+'Project Assumptions'!$N$40)^(AB4-'Project Assumptions'!$N$6))*AB5/12)</f>
        <v>0</v>
      </c>
    </row>
    <row r="39" spans="1:28" ht="12.6" customHeight="1">
      <c r="A39" s="1">
        <v>12</v>
      </c>
      <c r="B39" s="449" t="s">
        <v>495</v>
      </c>
      <c r="C39" s="427">
        <f t="shared" si="6"/>
        <v>240.41752109102828</v>
      </c>
      <c r="D39" s="450">
        <f>IF(D3&gt;'Project Assumptions'!$I$15+1+1,0,'Project Assumptions'!$N$22*(D5)/12)*((1+'Project Assumptions'!$N$40)^(D4-'Project Assumptions'!$N$6))</f>
        <v>106.02941176470588</v>
      </c>
      <c r="E39" s="450">
        <f>IF(E3&gt;'Project Assumptions'!$I$15+1+1,0,'Project Assumptions'!$N$22*(E5)/12)*((1+'Project Assumptions'!$N$40)^(E4-'Project Assumptions'!$N$6))</f>
        <v>187.21764705882353</v>
      </c>
      <c r="F39" s="450">
        <f>IF(F3&gt;'Project Assumptions'!$I$15+1+1,0,'Project Assumptions'!$N$22*(F5)/12)*((1+'Project Assumptions'!$N$40)^(F4-'Project Assumptions'!$N$6))</f>
        <v>192.83417647058823</v>
      </c>
      <c r="G39" s="450">
        <f>IF(G3&gt;'Project Assumptions'!$I$15+1+1,0,'Project Assumptions'!$N$22*(G5)/12)*((1+'Project Assumptions'!$N$40)^(G4-'Project Assumptions'!$N$6))</f>
        <v>198.61920176470588</v>
      </c>
      <c r="H39" s="450">
        <f>IF(H3&gt;'Project Assumptions'!$I$15+1+1,0,'Project Assumptions'!$N$22*(H5)/12)*((1+'Project Assumptions'!$N$40)^(H4-'Project Assumptions'!$N$6))</f>
        <v>204.57777781764702</v>
      </c>
      <c r="I39" s="450">
        <f>IF(I3&gt;'Project Assumptions'!$I$15+1+1,0,'Project Assumptions'!$N$22*(I5)/12)*((1+'Project Assumptions'!$N$40)^(I4-'Project Assumptions'!$N$6))</f>
        <v>210.71511115217646</v>
      </c>
      <c r="J39" s="450">
        <f>IF(J3&gt;'Project Assumptions'!$I$15+1+1,0,'Project Assumptions'!$N$22*(J5)/12)*((1+'Project Assumptions'!$N$40)^(J4-'Project Assumptions'!$N$6))</f>
        <v>217.03656448674175</v>
      </c>
      <c r="K39" s="450">
        <f>IF(K3&gt;'Project Assumptions'!$I$15+1+1,0,'Project Assumptions'!$N$22*(K5)/12)*((1+'Project Assumptions'!$N$40)^(K4-'Project Assumptions'!$N$6))</f>
        <v>223.54766142134397</v>
      </c>
      <c r="L39" s="450">
        <f>IF(L3&gt;'Project Assumptions'!$I$15+1+1,0,'Project Assumptions'!$N$22*(L5)/12)*((1+'Project Assumptions'!$N$40)^(L4-'Project Assumptions'!$N$6))</f>
        <v>230.25409126398432</v>
      </c>
      <c r="M39" s="450">
        <f>IF(M3&gt;'Project Assumptions'!$I$15+1+1,0,'Project Assumptions'!$N$22*(M5)/12)*((1+'Project Assumptions'!$N$40)^(M4-'Project Assumptions'!$N$6))</f>
        <v>237.16171400190385</v>
      </c>
      <c r="N39" s="450">
        <f>IF(N3&gt;'Project Assumptions'!$I$15+1+1,0,'Project Assumptions'!$N$22*(N5)/12)*((1+'Project Assumptions'!$N$40)^(N4-'Project Assumptions'!$N$6))</f>
        <v>244.27656542196095</v>
      </c>
      <c r="O39" s="450">
        <f>IF(O3&gt;'Project Assumptions'!$I$15+1+1,0,'Project Assumptions'!$N$22*(O5)/12)*((1+'Project Assumptions'!$N$40)^(O4-'Project Assumptions'!$N$6))</f>
        <v>251.60486238461976</v>
      </c>
      <c r="P39" s="450">
        <f>IF(P3&gt;'Project Assumptions'!$I$15+1+1,0,'Project Assumptions'!$N$22*(P5)/12)*((1+'Project Assumptions'!$N$40)^(P4-'Project Assumptions'!$N$6))</f>
        <v>259.15300825615833</v>
      </c>
      <c r="Q39" s="450">
        <f>IF(Q3&gt;'Project Assumptions'!$I$15+1+1,0,'Project Assumptions'!$N$22*(Q5)/12)*((1+'Project Assumptions'!$N$40)^(Q4-'Project Assumptions'!$N$6))</f>
        <v>266.92759850384311</v>
      </c>
      <c r="R39" s="450">
        <f>IF(R3&gt;'Project Assumptions'!$I$15+1+1,0,'Project Assumptions'!$N$22*(R5)/12)*((1+'Project Assumptions'!$N$40)^(R4-'Project Assumptions'!$N$6))</f>
        <v>274.93542645895843</v>
      </c>
      <c r="S39" s="450">
        <f>IF(S3&gt;'Project Assumptions'!$I$15+1+1,0,'Project Assumptions'!$N$22*(S5)/12)*((1+'Project Assumptions'!$N$40)^(S4-'Project Assumptions'!$N$6))</f>
        <v>283.18348925272716</v>
      </c>
      <c r="T39" s="450">
        <f>IF(T3&gt;'Project Assumptions'!$I$15+1+1,0,'Project Assumptions'!$N$22*(T5)/12)*((1+'Project Assumptions'!$N$40)^(T4-'Project Assumptions'!$N$6))</f>
        <v>291.67899393030893</v>
      </c>
      <c r="U39" s="450">
        <f>IF(U3&gt;'Project Assumptions'!$I$15+1+1,0,'Project Assumptions'!$N$22*(U5)/12)*((1+'Project Assumptions'!$N$40)^(U4-'Project Assumptions'!$N$6))</f>
        <v>300.42936374821824</v>
      </c>
      <c r="V39" s="450">
        <f>IF(V3&gt;'Project Assumptions'!$I$15+1+1,0,'Project Assumptions'!$N$22*(V5)/12)*((1+'Project Assumptions'!$N$40)^(V4-'Project Assumptions'!$N$6))</f>
        <v>309.44224466066476</v>
      </c>
      <c r="W39" s="450">
        <f>IF(W3&gt;'Project Assumptions'!$I$15+1+1,0,'Project Assumptions'!$N$22*(W5)/12)*((1+'Project Assumptions'!$N$40)^(W4-'Project Assumptions'!$N$6))</f>
        <v>318.72551200048468</v>
      </c>
      <c r="X39" s="450">
        <f>IF(X3&gt;'Project Assumptions'!$I$15+1+1,0,'Project Assumptions'!$N$22*(X5)/12)*((1+'Project Assumptions'!$N$40)^(X4-'Project Assumptions'!$N$6))</f>
        <v>136.78636556687468</v>
      </c>
      <c r="Y39" s="450">
        <f>IF(Y3&gt;'Project Assumptions'!$I$15+1+1,0,'Project Assumptions'!$N$22*(Y5)/12)*((1+'Project Assumptions'!$N$40)^(Y4-'Project Assumptions'!$N$6))</f>
        <v>0</v>
      </c>
      <c r="Z39" s="450">
        <f>IF(Z3&gt;'Project Assumptions'!$I$15+1+1,0,'Project Assumptions'!$N$22*(Z5)/12)*((1+'Project Assumptions'!$N$40)^(Z4-'Project Assumptions'!$N$6))</f>
        <v>0</v>
      </c>
      <c r="AA39" s="450">
        <f>IF(AA3&gt;'Project Assumptions'!$I$15+1+1,0,'Project Assumptions'!$N$22*(AA5)/12)*((1+'Project Assumptions'!$N$40)^(AA4-'Project Assumptions'!$N$6))</f>
        <v>0</v>
      </c>
      <c r="AB39" s="451">
        <f>IF(AB3&gt;'Project Assumptions'!$I$15+1+1,0,'Project Assumptions'!$N$22*(AB5)/12)*((1+'Project Assumptions'!$N$40)^(AB4-'Project Assumptions'!$N$6))</f>
        <v>0</v>
      </c>
    </row>
    <row r="40" spans="1:28" ht="12.6" customHeight="1">
      <c r="B40" s="449" t="s">
        <v>612</v>
      </c>
      <c r="C40" s="427">
        <f t="shared" si="6"/>
        <v>470.29153612555376</v>
      </c>
      <c r="D40" s="450">
        <f>IF(D3&gt;ProjectLife+1,0,'Project Assumptions'!$N$23*((1+OM_Escal)^(D4-2003))*D7/12)</f>
        <v>0</v>
      </c>
      <c r="E40" s="450">
        <f>IF(E3&gt;ProjectLife+1,0,'Project Assumptions'!$N$23*((1+OM_Escal)^(E4-2003))*E7/12)</f>
        <v>0</v>
      </c>
      <c r="F40" s="450">
        <f>IF(F3&gt;ProjectLife+1,0,'Project Assumptions'!$N$23*((1+OM_Escal)^(F4-2003))*F7/12)</f>
        <v>0</v>
      </c>
      <c r="G40" s="450">
        <f>IF(G3&gt;ProjectLife+1,0,'Project Assumptions'!$N$23*((1+OM_Escal)^(G4-2003))*G7/12)</f>
        <v>257.05106000000001</v>
      </c>
      <c r="H40" s="450">
        <f>IF(H3&gt;ProjectLife+1,0,'Project Assumptions'!$N$23*((1+OM_Escal)^(H4-2003))*H7/12)</f>
        <v>453.87872880000003</v>
      </c>
      <c r="I40" s="450">
        <f>IF(I3&gt;ProjectLife+1,0,'Project Assumptions'!$N$23*((1+OM_Escal)^(I4-2003))*I7/12)</f>
        <v>467.49509066399997</v>
      </c>
      <c r="J40" s="450">
        <f>IF(J3&gt;ProjectLife+1,0,'Project Assumptions'!$N$23*((1+OM_Escal)^(J4-2003))*J7/12)</f>
        <v>481.51994338391995</v>
      </c>
      <c r="K40" s="450">
        <f>IF(K3&gt;ProjectLife+1,0,'Project Assumptions'!$N$23*((1+OM_Escal)^(K4-2003))*K7/12)</f>
        <v>495.96554168543753</v>
      </c>
      <c r="L40" s="450">
        <f>IF(L3&gt;ProjectLife+1,0,'Project Assumptions'!$N$23*((1+OM_Escal)^(L4-2003))*L7/12)</f>
        <v>510.84450793600064</v>
      </c>
      <c r="M40" s="450">
        <f>IF(M3&gt;ProjectLife+1,0,'Project Assumptions'!$N$23*((1+OM_Escal)^(M4-2003))*M7/12)</f>
        <v>526.16984317408071</v>
      </c>
      <c r="N40" s="450">
        <f>IF(N3&gt;ProjectLife+1,0,'Project Assumptions'!$N$23*((1+OM_Escal)^(N4-2003))*N7/12)</f>
        <v>541.9549384693031</v>
      </c>
      <c r="O40" s="450">
        <f>IF(O3&gt;ProjectLife+1,0,'Project Assumptions'!$N$23*((1+OM_Escal)^(O4-2003))*O7/12)</f>
        <v>558.21358662338218</v>
      </c>
      <c r="P40" s="450">
        <f>IF(P3&gt;ProjectLife+1,0,'Project Assumptions'!$N$23*((1+OM_Escal)^(P4-2003))*P7/12)</f>
        <v>574.95999422208365</v>
      </c>
      <c r="Q40" s="450">
        <f>IF(Q3&gt;ProjectLife+1,0,'Project Assumptions'!$N$23*((1+OM_Escal)^(Q4-2003))*Q7/12)</f>
        <v>592.2087940487462</v>
      </c>
      <c r="R40" s="450">
        <f>IF(R3&gt;ProjectLife+1,0,'Project Assumptions'!$N$23*((1+OM_Escal)^(R4-2003))*R7/12)</f>
        <v>609.97505787020862</v>
      </c>
      <c r="S40" s="450">
        <f>IF(S3&gt;ProjectLife+1,0,'Project Assumptions'!$N$23*((1+OM_Escal)^(S4-2003))*S7/12)</f>
        <v>628.27430960631477</v>
      </c>
      <c r="T40" s="450">
        <f>IF(T3&gt;ProjectLife+1,0,'Project Assumptions'!$N$23*((1+OM_Escal)^(T4-2003))*T7/12)</f>
        <v>647.12253889450415</v>
      </c>
      <c r="U40" s="450">
        <f>IF(U3&gt;ProjectLife+1,0,'Project Assumptions'!$N$23*((1+OM_Escal)^(U4-2003))*U7/12)</f>
        <v>666.53621506133936</v>
      </c>
      <c r="V40" s="450">
        <f>IF(V3&gt;ProjectLife+1,0,'Project Assumptions'!$N$23*((1+OM_Escal)^(V4-2003))*V7/12)</f>
        <v>686.5323015131795</v>
      </c>
      <c r="W40" s="450">
        <f>IF(W3&gt;ProjectLife+1,0,'Project Assumptions'!$N$23*((1+OM_Escal)^(W4-2003))*W7/12)</f>
        <v>707.12827055857485</v>
      </c>
      <c r="X40" s="450">
        <f>IF(X3&gt;ProjectLife+1,0,'Project Assumptions'!$N$23*((1+OM_Escal)^(X4-2003))*X7/12)</f>
        <v>303.47588278138835</v>
      </c>
      <c r="Y40" s="450">
        <f>IF(Y3&gt;ProjectLife+1,0,'Project Assumptions'!$N$23*((1+OM_Escal)^(Y4-2003))*Y7/12)</f>
        <v>0</v>
      </c>
      <c r="Z40" s="450">
        <f>IF(Z3&gt;ProjectLife+1,0,'Project Assumptions'!$N$23*((1+OM_Escal)^(Z4-2003))*Z7/12)</f>
        <v>0</v>
      </c>
      <c r="AA40" s="450">
        <f>IF(AA3&gt;ProjectLife+1,0,'Project Assumptions'!$N$23*((1+OM_Escal)^(AA4-2003))*AA7/12)</f>
        <v>0</v>
      </c>
      <c r="AB40" s="451">
        <f>IF(AB3&gt;ProjectLife+1,0,'Project Assumptions'!$N$23*((1+OM_Escal)^(AB4-'Project Assumptions'!$N$6))*AB7/12)</f>
        <v>0</v>
      </c>
    </row>
    <row r="41" spans="1:28" ht="12.6" customHeight="1">
      <c r="A41" s="1">
        <v>9</v>
      </c>
      <c r="B41" s="449" t="s">
        <v>496</v>
      </c>
      <c r="C41" s="428">
        <f t="shared" si="6"/>
        <v>340.59148821229007</v>
      </c>
      <c r="D41" s="494">
        <f>'Project Assumptions'!$N$24*(1+OM_Escal)*D5/12</f>
        <v>150.20833333333334</v>
      </c>
      <c r="E41" s="470">
        <f>IF(E3&gt;'Project Assumptions'!$I$15+1+1,0,'Project Assumptions'!$N$24*((1+OM_Escal)^(E4-'Project Assumptions'!$N$6))*E5/12)</f>
        <v>265.22499999999997</v>
      </c>
      <c r="F41" s="470">
        <f>IF(F3&gt;'Project Assumptions'!$I$15+1+1,0,'Project Assumptions'!$N$24*((1+OM_Escal)^(F4-'Project Assumptions'!$N$6))*F5/12)</f>
        <v>273.18175000000002</v>
      </c>
      <c r="G41" s="470">
        <f>IF(G3&gt;'Project Assumptions'!$I$15+1+1,0,'Project Assumptions'!$N$24*((1+OM_Escal)^(G4-'Project Assumptions'!$N$6))*G5/12)</f>
        <v>281.37720249999995</v>
      </c>
      <c r="H41" s="470">
        <f>IF(H3&gt;'Project Assumptions'!$I$15+1+1,0,'Project Assumptions'!$N$24*((1+OM_Escal)^(H4-'Project Assumptions'!$N$6))*H5/12)</f>
        <v>289.81851857499998</v>
      </c>
      <c r="I41" s="470">
        <f>IF(I3&gt;'Project Assumptions'!$I$15+1+1,0,'Project Assumptions'!$N$24*((1+OM_Escal)^(I4-'Project Assumptions'!$N$6))*I5/12)</f>
        <v>298.51307413224998</v>
      </c>
      <c r="J41" s="470">
        <f>IF(J3&gt;'Project Assumptions'!$I$15+1+1,0,'Project Assumptions'!$N$24*((1+OM_Escal)^(J4-'Project Assumptions'!$N$6))*J5/12)</f>
        <v>307.4684663562175</v>
      </c>
      <c r="K41" s="470">
        <f>IF(K3&gt;'Project Assumptions'!$I$15+1+1,0,'Project Assumptions'!$N$24*((1+OM_Escal)^(K4-'Project Assumptions'!$N$6))*K5/12)</f>
        <v>316.69252034690396</v>
      </c>
      <c r="L41" s="470">
        <f>IF(L3&gt;'Project Assumptions'!$I$15+1+1,0,'Project Assumptions'!$N$24*((1+OM_Escal)^(L4-'Project Assumptions'!$N$6))*L5/12)</f>
        <v>326.19329595731114</v>
      </c>
      <c r="M41" s="470">
        <f>IF(M3&gt;'Project Assumptions'!$I$15+1+1,0,'Project Assumptions'!$N$24*((1+OM_Escal)^(M4-'Project Assumptions'!$N$6))*M5/12)</f>
        <v>335.97909483603047</v>
      </c>
      <c r="N41" s="470">
        <f>IF(N3&gt;'Project Assumptions'!$I$15+1+1,0,'Project Assumptions'!$N$24*((1+OM_Escal)^(N4-'Project Assumptions'!$N$6))*N5/12)</f>
        <v>346.05846768111138</v>
      </c>
      <c r="O41" s="470">
        <f>IF(O3&gt;'Project Assumptions'!$I$15+1+1,0,'Project Assumptions'!$N$24*((1+OM_Escal)^(O4-'Project Assumptions'!$N$6))*O5/12)</f>
        <v>356.44022171154467</v>
      </c>
      <c r="P41" s="470">
        <f>IF(P3&gt;'Project Assumptions'!$I$15+1+1,0,'Project Assumptions'!$N$24*((1+OM_Escal)^(P4-'Project Assumptions'!$N$6))*P5/12)</f>
        <v>367.13342836289098</v>
      </c>
      <c r="Q41" s="470">
        <f>IF(Q3&gt;'Project Assumptions'!$I$15+1+1,0,'Project Assumptions'!$N$24*((1+OM_Escal)^(Q4-'Project Assumptions'!$N$6))*Q5/12)</f>
        <v>378.14743121377774</v>
      </c>
      <c r="R41" s="470">
        <f>IF(R3&gt;'Project Assumptions'!$I$15+1+1,0,'Project Assumptions'!$N$24*((1+OM_Escal)^(R4-'Project Assumptions'!$N$6))*R5/12)</f>
        <v>389.4918541501911</v>
      </c>
      <c r="S41" s="470">
        <f>IF(S3&gt;'Project Assumptions'!$I$15+1+1,0,'Project Assumptions'!$N$24*((1+OM_Escal)^(S4-'Project Assumptions'!$N$6))*S5/12)</f>
        <v>401.17660977469677</v>
      </c>
      <c r="T41" s="470">
        <f>IF(T3&gt;'Project Assumptions'!$I$15+1+1,0,'Project Assumptions'!$N$24*((1+OM_Escal)^(T4-'Project Assumptions'!$N$6))*T5/12)</f>
        <v>413.21190806793766</v>
      </c>
      <c r="U41" s="470">
        <f>IF(U3&gt;'Project Assumptions'!$I$15+1+1,0,'Project Assumptions'!$N$24*((1+OM_Escal)^(U4-'Project Assumptions'!$N$6))*U5/12)</f>
        <v>425.60826530997582</v>
      </c>
      <c r="V41" s="470">
        <f>IF(V3&gt;'Project Assumptions'!$I$15+1+1,0,'Project Assumptions'!$N$24*((1+OM_Escal)^(V4-'Project Assumptions'!$N$6))*V5/12)</f>
        <v>438.37651326927499</v>
      </c>
      <c r="W41" s="470">
        <f>IF(W3&gt;'Project Assumptions'!$I$15+1+1,0,'Project Assumptions'!$N$24*((1+OM_Escal)^(W4-'Project Assumptions'!$N$6))*W5/12)</f>
        <v>451.52780866735333</v>
      </c>
      <c r="X41" s="470">
        <f>IF(X3&gt;'Project Assumptions'!$I$15+1+1,0,'Project Assumptions'!$N$24*((1+OM_Escal)^(X4-'Project Assumptions'!$N$6))*X5/12)</f>
        <v>193.78068455307243</v>
      </c>
      <c r="Y41" s="470">
        <f>IF(Y3&gt;'Project Assumptions'!$I$15+1+1,0,'Project Assumptions'!$N$24*((1+OM_Escal)^(Y4-'Project Assumptions'!$N$6))*Y5/12)</f>
        <v>0</v>
      </c>
      <c r="Z41" s="470">
        <f>IF(Z3&gt;'Project Assumptions'!$I$15+1+1,0,'Project Assumptions'!$N$24*((1+OM_Escal)^(Z4-'Project Assumptions'!$N$6))*Z5/12)</f>
        <v>0</v>
      </c>
      <c r="AA41" s="470">
        <f>IF(AA3&gt;'Project Assumptions'!$I$15+1+1,0,'Project Assumptions'!$N$24*((1+OM_Escal)^(AA4-'Project Assumptions'!$N$6))*AA5/12)</f>
        <v>0</v>
      </c>
      <c r="AB41" s="471">
        <f>IF(AB3&gt;'Project Assumptions'!$I$15+1+1,0,'Project Assumptions'!$N$24*((1+OM_Escal)^(AB4-'Project Assumptions'!$N$6))*AB5/12)</f>
        <v>0</v>
      </c>
    </row>
    <row r="42" spans="1:28" ht="12.6" customHeight="1">
      <c r="B42" s="468" t="s">
        <v>538</v>
      </c>
      <c r="C42" s="429">
        <f t="shared" si="6"/>
        <v>2409.579400419485</v>
      </c>
      <c r="D42" s="934">
        <f>SUM(D37:D41)</f>
        <v>855.2685784313727</v>
      </c>
      <c r="E42" s="934">
        <f t="shared" ref="E42:AB42" si="7">SUM(E37:E41)</f>
        <v>1510.1599470588233</v>
      </c>
      <c r="F42" s="934">
        <f t="shared" si="7"/>
        <v>1555.464745470588</v>
      </c>
      <c r="G42" s="934">
        <f t="shared" si="7"/>
        <v>1859.1797478347057</v>
      </c>
      <c r="H42" s="934">
        <f t="shared" si="7"/>
        <v>2104.071277269747</v>
      </c>
      <c r="I42" s="934">
        <f t="shared" si="7"/>
        <v>2167.1934155878394</v>
      </c>
      <c r="J42" s="934">
        <f t="shared" si="7"/>
        <v>2232.2092180554746</v>
      </c>
      <c r="K42" s="934">
        <f t="shared" si="7"/>
        <v>2299.1754945971388</v>
      </c>
      <c r="L42" s="934">
        <f t="shared" si="7"/>
        <v>2368.1507594350528</v>
      </c>
      <c r="M42" s="934">
        <f t="shared" si="7"/>
        <v>2439.1952822181047</v>
      </c>
      <c r="N42" s="934">
        <f t="shared" si="7"/>
        <v>2512.3711406846473</v>
      </c>
      <c r="O42" s="934">
        <f t="shared" si="7"/>
        <v>2587.7422749051871</v>
      </c>
      <c r="P42" s="934">
        <f t="shared" si="7"/>
        <v>2665.3745431523421</v>
      </c>
      <c r="Q42" s="934">
        <f t="shared" si="7"/>
        <v>2745.335779446913</v>
      </c>
      <c r="R42" s="934">
        <f t="shared" si="7"/>
        <v>2827.6958528303203</v>
      </c>
      <c r="S42" s="934">
        <f t="shared" si="7"/>
        <v>2912.5267284152296</v>
      </c>
      <c r="T42" s="934">
        <f t="shared" si="7"/>
        <v>2999.9025302676864</v>
      </c>
      <c r="U42" s="934">
        <f t="shared" si="7"/>
        <v>3089.8996061757171</v>
      </c>
      <c r="V42" s="934">
        <f t="shared" si="7"/>
        <v>3182.5965943609885</v>
      </c>
      <c r="W42" s="934">
        <f t="shared" si="7"/>
        <v>3278.0744921918181</v>
      </c>
      <c r="X42" s="934">
        <f t="shared" si="7"/>
        <v>1406.8403028989885</v>
      </c>
      <c r="Y42" s="934">
        <f t="shared" si="7"/>
        <v>0</v>
      </c>
      <c r="Z42" s="934">
        <f t="shared" si="7"/>
        <v>0</v>
      </c>
      <c r="AA42" s="934">
        <f t="shared" si="7"/>
        <v>0</v>
      </c>
      <c r="AB42" s="935">
        <f t="shared" si="7"/>
        <v>0</v>
      </c>
    </row>
    <row r="43" spans="1:28" ht="12.6" customHeight="1">
      <c r="B43" s="449"/>
      <c r="C43" s="425"/>
      <c r="D43" s="472"/>
      <c r="E43" s="472"/>
      <c r="F43" s="472"/>
      <c r="G43" s="472"/>
      <c r="H43" s="472"/>
      <c r="I43" s="472"/>
      <c r="J43" s="472"/>
      <c r="K43" s="472"/>
      <c r="L43" s="472"/>
      <c r="M43" s="472"/>
      <c r="N43" s="472"/>
      <c r="O43" s="472"/>
      <c r="P43" s="472"/>
      <c r="Q43" s="472"/>
      <c r="R43" s="472"/>
      <c r="S43" s="472"/>
      <c r="T43" s="472"/>
      <c r="U43" s="472"/>
      <c r="V43" s="472"/>
      <c r="W43" s="472"/>
      <c r="X43" s="472"/>
      <c r="Y43" s="472"/>
      <c r="Z43" s="472"/>
      <c r="AA43" s="472"/>
      <c r="AB43" s="473"/>
    </row>
    <row r="44" spans="1:28" ht="12.6" customHeight="1">
      <c r="B44" s="468" t="s">
        <v>533</v>
      </c>
      <c r="C44" s="425"/>
      <c r="D44" s="472"/>
      <c r="E44" s="472"/>
      <c r="F44" s="472"/>
      <c r="G44" s="472"/>
      <c r="H44" s="472"/>
      <c r="I44" s="472"/>
      <c r="J44" s="472"/>
      <c r="K44" s="472"/>
      <c r="L44" s="472"/>
      <c r="M44" s="472"/>
      <c r="N44" s="472"/>
      <c r="O44" s="472"/>
      <c r="P44" s="472"/>
      <c r="Q44" s="472"/>
      <c r="R44" s="472"/>
      <c r="S44" s="472"/>
      <c r="T44" s="472"/>
      <c r="U44" s="472"/>
      <c r="V44" s="472"/>
      <c r="W44" s="472"/>
      <c r="X44" s="472"/>
      <c r="Y44" s="472"/>
      <c r="Z44" s="472"/>
      <c r="AA44" s="472"/>
      <c r="AB44" s="473"/>
    </row>
    <row r="45" spans="1:28" ht="12.6" customHeight="1">
      <c r="A45" s="1">
        <v>6</v>
      </c>
      <c r="B45" s="449" t="s">
        <v>133</v>
      </c>
      <c r="C45" s="426">
        <f t="shared" si="6"/>
        <v>363.75170941072577</v>
      </c>
      <c r="D45" s="450">
        <f>'Project Assumptions'!$N$32*(1+OM_Escal)^(D4-'Project Assumptions'!$N$28)*D5/12</f>
        <v>160.42249999999999</v>
      </c>
      <c r="E45" s="450">
        <f>'Project Assumptions'!$N$32*(1+OM_Escal)^(E4-'Project Assumptions'!$N$28)*E5/12</f>
        <v>283.26029999999997</v>
      </c>
      <c r="F45" s="450">
        <f>'Project Assumptions'!$N$32*(1+OM_Escal)^(F4-'Project Assumptions'!$N$28)*F5/12</f>
        <v>291.75810899999999</v>
      </c>
      <c r="G45" s="450">
        <f>'Project Assumptions'!$N$32*(1+OM_Escal)^(G4-'Project Assumptions'!$N$28)*G5/12</f>
        <v>300.51085226999999</v>
      </c>
      <c r="H45" s="450">
        <f>'Project Assumptions'!$N$32*(1+OM_Escal)^(H4-'Project Assumptions'!$N$28)*H5/12</f>
        <v>309.52617783809995</v>
      </c>
      <c r="I45" s="450">
        <f>'Project Assumptions'!$N$32*(1+OM_Escal)^(I4-'Project Assumptions'!$N$28)*I5/12</f>
        <v>318.81196317324299</v>
      </c>
      <c r="J45" s="450">
        <f>'Project Assumptions'!$N$32*(1+OM_Escal)^(J4-'Project Assumptions'!$N$28)*J5/12</f>
        <v>328.37632206844029</v>
      </c>
      <c r="K45" s="450">
        <f>'Project Assumptions'!$N$32*(1+OM_Escal)^(K4-'Project Assumptions'!$N$28)*K5/12</f>
        <v>338.22761173049344</v>
      </c>
      <c r="L45" s="450">
        <f>'Project Assumptions'!$N$32*(1+OM_Escal)^(L4-'Project Assumptions'!$N$28)*L5/12</f>
        <v>348.37444008240828</v>
      </c>
      <c r="M45" s="450">
        <f>'Project Assumptions'!$N$32*(1+OM_Escal)^(M4-'Project Assumptions'!$N$28)*M5/12</f>
        <v>358.82567328488057</v>
      </c>
      <c r="N45" s="450">
        <f>'Project Assumptions'!$N$32*(1+OM_Escal)^(N4-'Project Assumptions'!$N$28)*N5/12</f>
        <v>369.59044348342695</v>
      </c>
      <c r="O45" s="450">
        <f>'Project Assumptions'!$N$32*(1+OM_Escal)^(O4-'Project Assumptions'!$N$28)*O5/12</f>
        <v>380.67815678792971</v>
      </c>
      <c r="P45" s="450">
        <f>'Project Assumptions'!$N$32*(1+OM_Escal)^(P4-'Project Assumptions'!$N$28)*P5/12</f>
        <v>392.09850149156756</v>
      </c>
      <c r="Q45" s="450">
        <f>'Project Assumptions'!$N$32*(1+OM_Escal)^(Q4-'Project Assumptions'!$N$28)*Q5/12</f>
        <v>403.86145653631462</v>
      </c>
      <c r="R45" s="450">
        <f>'Project Assumptions'!$N$32*(1+OM_Escal)^(R4-'Project Assumptions'!$N$28)*R5/12</f>
        <v>415.9773002324041</v>
      </c>
      <c r="S45" s="450">
        <f>'Project Assumptions'!$N$32*(1+OM_Escal)^(S4-'Project Assumptions'!$N$28)*S5/12</f>
        <v>428.45661923937615</v>
      </c>
      <c r="T45" s="450">
        <f>'Project Assumptions'!$N$32*(1+OM_Escal)^(T4-'Project Assumptions'!$N$28)*T5/12</f>
        <v>441.31031781655741</v>
      </c>
      <c r="U45" s="450">
        <f>'Project Assumptions'!$N$32*(1+OM_Escal)^(U4-'Project Assumptions'!$N$28)*U5/12</f>
        <v>454.54962735105414</v>
      </c>
      <c r="V45" s="450">
        <f>'Project Assumptions'!$N$32*(1+OM_Escal)^(V4-'Project Assumptions'!$N$28)*V5/12</f>
        <v>468.18611617158575</v>
      </c>
      <c r="W45" s="450">
        <f>'Project Assumptions'!$N$32*(1+OM_Escal)^(W4-'Project Assumptions'!$N$28)*W5/12</f>
        <v>482.23169965673333</v>
      </c>
      <c r="X45" s="450">
        <f>'Project Assumptions'!$N$32*(1+OM_Escal)^(X4-'Project Assumptions'!$N$28)*X5/12</f>
        <v>206.95777110268136</v>
      </c>
      <c r="Y45" s="450">
        <f>'Project Assumptions'!$N$32*(1+OM_Escal)^(Y4-'Project Assumptions'!$N$28)*Y5/12</f>
        <v>0</v>
      </c>
      <c r="Z45" s="450">
        <f>'Project Assumptions'!$N$32*(1+OM_Escal)^(Z4-'Project Assumptions'!$N$28)*Z5/12</f>
        <v>0</v>
      </c>
      <c r="AA45" s="450">
        <f>'Project Assumptions'!$N$32*(1+OM_Escal)^(AA4-'Project Assumptions'!$N$28)*AA5/12</f>
        <v>0</v>
      </c>
      <c r="AB45" s="451">
        <f>'Project Assumptions'!$N$32*(1+OM_Escal)^(AB4-'Project Assumptions'!$N$28)*AB5/12</f>
        <v>0</v>
      </c>
    </row>
    <row r="46" spans="1:28" ht="12.6" customHeight="1">
      <c r="A46" s="1">
        <v>7</v>
      </c>
      <c r="B46" s="449" t="s">
        <v>589</v>
      </c>
      <c r="C46" s="427">
        <f t="shared" si="6"/>
        <v>96.86770003277455</v>
      </c>
      <c r="D46" s="450">
        <f>IF(D3&gt;ProjectLife +1,0,'Project Assumptions'!$N$33*(1+OM_Escal)^(D4-'Project Assumptions'!$N$28))</f>
        <v>72.100000000000009</v>
      </c>
      <c r="E46" s="450">
        <f>IF(E3&gt;ProjectLife +1,0,'Project Assumptions'!$N$33*(1+OM_Escal)^(E4-'Project Assumptions'!$N$28))</f>
        <v>74.262999999999991</v>
      </c>
      <c r="F46" s="450">
        <f>IF(F3&gt;ProjectLife +1,0,'Project Assumptions'!$N$33*(1+OM_Escal)^(F4-'Project Assumptions'!$N$28))</f>
        <v>76.490890000000007</v>
      </c>
      <c r="G46" s="450">
        <f>IF(G3&gt;ProjectLife +1,0,'Project Assumptions'!$N$33*(1+OM_Escal)^(G4-'Project Assumptions'!$N$28))</f>
        <v>78.785616699999991</v>
      </c>
      <c r="H46" s="450">
        <f>IF(H3&gt;ProjectLife +1,0,'Project Assumptions'!$N$33*(1+OM_Escal)^(H4-'Project Assumptions'!$N$28))</f>
        <v>81.149185200999995</v>
      </c>
      <c r="I46" s="450">
        <f>IF(I3&gt;ProjectLife +1,0,'Project Assumptions'!$N$33*(1+OM_Escal)^(I4-'Project Assumptions'!$N$28))</f>
        <v>83.583660757029989</v>
      </c>
      <c r="J46" s="450">
        <f>IF(J3&gt;ProjectLife +1,0,'Project Assumptions'!$N$33*(1+OM_Escal)^(J4-'Project Assumptions'!$N$28))</f>
        <v>86.091170579740904</v>
      </c>
      <c r="K46" s="450">
        <f>IF(K3&gt;ProjectLife +1,0,'Project Assumptions'!$N$33*(1+OM_Escal)^(K4-'Project Assumptions'!$N$28))</f>
        <v>88.673905697133108</v>
      </c>
      <c r="L46" s="450">
        <f>IF(L3&gt;ProjectLife +1,0,'Project Assumptions'!$N$33*(1+OM_Escal)^(L4-'Project Assumptions'!$N$28))</f>
        <v>91.334122868047118</v>
      </c>
      <c r="M46" s="450">
        <f>IF(M3&gt;ProjectLife +1,0,'Project Assumptions'!$N$33*(1+OM_Escal)^(M4-'Project Assumptions'!$N$28))</f>
        <v>94.074146554088529</v>
      </c>
      <c r="N46" s="450">
        <f>IF(N3&gt;ProjectLife +1,0,'Project Assumptions'!$N$33*(1+OM_Escal)^(N4-'Project Assumptions'!$N$28))</f>
        <v>96.896370950711187</v>
      </c>
      <c r="O46" s="450">
        <f>IF(O3&gt;ProjectLife +1,0,'Project Assumptions'!$N$33*(1+OM_Escal)^(O4-'Project Assumptions'!$N$28))</f>
        <v>99.80326207923251</v>
      </c>
      <c r="P46" s="450">
        <f>IF(P3&gt;ProjectLife +1,0,'Project Assumptions'!$N$33*(1+OM_Escal)^(P4-'Project Assumptions'!$N$28))</f>
        <v>102.79735994160947</v>
      </c>
      <c r="Q46" s="450">
        <f>IF(Q3&gt;ProjectLife +1,0,'Project Assumptions'!$N$33*(1+OM_Escal)^(Q4-'Project Assumptions'!$N$28))</f>
        <v>105.88128073985777</v>
      </c>
      <c r="R46" s="450">
        <f>IF(R3&gt;ProjectLife +1,0,'Project Assumptions'!$N$33*(1+OM_Escal)^(R4-'Project Assumptions'!$N$28))</f>
        <v>109.05771916205352</v>
      </c>
      <c r="S46" s="450">
        <f>IF(S3&gt;ProjectLife +1,0,'Project Assumptions'!$N$33*(1+OM_Escal)^(S4-'Project Assumptions'!$N$28))</f>
        <v>112.32945073691509</v>
      </c>
      <c r="T46" s="450">
        <f>IF(T3&gt;ProjectLife +1,0,'Project Assumptions'!$N$33*(1+OM_Escal)^(T4-'Project Assumptions'!$N$28))</f>
        <v>115.69933425902255</v>
      </c>
      <c r="U46" s="450">
        <f>IF(U3&gt;ProjectLife +1,0,'Project Assumptions'!$N$33*(1+OM_Escal)^(U4-'Project Assumptions'!$N$28))</f>
        <v>119.17031428679323</v>
      </c>
      <c r="V46" s="450">
        <f>IF(V3&gt;ProjectLife +1,0,'Project Assumptions'!$N$33*(1+OM_Escal)^(V4-'Project Assumptions'!$N$28))</f>
        <v>122.74542371539702</v>
      </c>
      <c r="W46" s="450">
        <f>IF(W3&gt;ProjectLife +1,0,'Project Assumptions'!$N$33*(1+OM_Escal)^(W4-'Project Assumptions'!$N$28))</f>
        <v>126.42778642685893</v>
      </c>
      <c r="X46" s="450">
        <f>IF(X3&gt;ProjectLife +1,0,'Project Assumptions'!$N$33*(1+OM_Escal)^(X4-'Project Assumptions'!$N$28))</f>
        <v>130.22062001966469</v>
      </c>
      <c r="Y46" s="450">
        <f>IF(Y3&gt;ProjectLife +1,0,'Project Assumptions'!$N$33*(1+OM_Escal)^(Y4-'Project Assumptions'!$N$28))</f>
        <v>0</v>
      </c>
      <c r="Z46" s="450">
        <f>IF(Z3&gt;ProjectLife +1,0,'Project Assumptions'!$N$33*(1+OM_Escal)^(Z4-'Project Assumptions'!$N$28))</f>
        <v>0</v>
      </c>
      <c r="AA46" s="450">
        <f>IF(AA3&gt;ProjectLife +1,0,'Project Assumptions'!$N$33*(1+OM_Escal)^(AA4-'Project Assumptions'!$N$28))</f>
        <v>0</v>
      </c>
      <c r="AB46" s="451">
        <f>IF(AB3&gt;ProjectLife +1,0,'Project Assumptions'!$N$33*(1+OM_Escal)^(AB4-'Project Assumptions'!$N$28))</f>
        <v>0</v>
      </c>
    </row>
    <row r="47" spans="1:28" ht="12.6" customHeight="1">
      <c r="B47" s="449" t="s">
        <v>590</v>
      </c>
      <c r="C47" s="427">
        <f t="shared" si="6"/>
        <v>188.00650149318412</v>
      </c>
      <c r="D47" s="450">
        <f>'Project Assumptions'!$N$34*(D5/12)*(1+OM_Escal)^(D4-'Project Assumptions'!$N$28)</f>
        <v>82.915000000000006</v>
      </c>
      <c r="E47" s="450">
        <f>'Project Assumptions'!$N$34*(E5/12)*(1+OM_Escal)^(E4-'Project Assumptions'!$N$28)</f>
        <v>146.4042</v>
      </c>
      <c r="F47" s="450">
        <f>'Project Assumptions'!$N$34*(F5/12)*(1+OM_Escal)^(F4-'Project Assumptions'!$N$28)</f>
        <v>150.79632599999999</v>
      </c>
      <c r="G47" s="450">
        <f>'Project Assumptions'!$N$34*(G5/12)*(1+OM_Escal)^(G4-'Project Assumptions'!$N$28)</f>
        <v>155.32021577999998</v>
      </c>
      <c r="H47" s="450">
        <f>'Project Assumptions'!$N$34*(H5/12)*(1+OM_Escal)^(H4-'Project Assumptions'!$N$28)</f>
        <v>159.97982225339999</v>
      </c>
      <c r="I47" s="450">
        <f>'Project Assumptions'!$N$34*(I5/12)*(1+OM_Escal)^(I4-'Project Assumptions'!$N$28)</f>
        <v>164.77921692100199</v>
      </c>
      <c r="J47" s="450">
        <f>'Project Assumptions'!$N$34*(J5/12)*(1+OM_Escal)^(J4-'Project Assumptions'!$N$28)</f>
        <v>169.72259342863205</v>
      </c>
      <c r="K47" s="450">
        <f>'Project Assumptions'!$N$34*(K5/12)*(1+OM_Escal)^(K4-'Project Assumptions'!$N$28)</f>
        <v>174.81427123149101</v>
      </c>
      <c r="L47" s="450">
        <f>'Project Assumptions'!$N$34*(L5/12)*(1+OM_Escal)^(L4-'Project Assumptions'!$N$28)</f>
        <v>180.05869936843573</v>
      </c>
      <c r="M47" s="450">
        <f>'Project Assumptions'!$N$34*(M5/12)*(1+OM_Escal)^(M4-'Project Assumptions'!$N$28)</f>
        <v>185.46046034948881</v>
      </c>
      <c r="N47" s="450">
        <f>'Project Assumptions'!$N$34*(N5/12)*(1+OM_Escal)^(N4-'Project Assumptions'!$N$28)</f>
        <v>191.02427415997349</v>
      </c>
      <c r="O47" s="450">
        <f>'Project Assumptions'!$N$34*(O5/12)*(1+OM_Escal)^(O4-'Project Assumptions'!$N$28)</f>
        <v>196.75500238477264</v>
      </c>
      <c r="P47" s="450">
        <f>'Project Assumptions'!$N$34*(P5/12)*(1+OM_Escal)^(P4-'Project Assumptions'!$N$28)</f>
        <v>202.65765245631582</v>
      </c>
      <c r="Q47" s="450">
        <f>'Project Assumptions'!$N$34*(Q5/12)*(1+OM_Escal)^(Q4-'Project Assumptions'!$N$28)</f>
        <v>208.73738203000531</v>
      </c>
      <c r="R47" s="450">
        <f>'Project Assumptions'!$N$34*(R5/12)*(1+OM_Escal)^(R4-'Project Assumptions'!$N$28)</f>
        <v>214.99950349090548</v>
      </c>
      <c r="S47" s="450">
        <f>'Project Assumptions'!$N$34*(S5/12)*(1+OM_Escal)^(S4-'Project Assumptions'!$N$28)</f>
        <v>221.44948859563263</v>
      </c>
      <c r="T47" s="450">
        <f>'Project Assumptions'!$N$34*(T5/12)*(1+OM_Escal)^(T4-'Project Assumptions'!$N$28)</f>
        <v>228.09297325350158</v>
      </c>
      <c r="U47" s="450">
        <f>'Project Assumptions'!$N$34*(U5/12)*(1+OM_Escal)^(U4-'Project Assumptions'!$N$28)</f>
        <v>234.93576245110665</v>
      </c>
      <c r="V47" s="450">
        <f>'Project Assumptions'!$N$34*(V5/12)*(1+OM_Escal)^(V4-'Project Assumptions'!$N$28)</f>
        <v>241.98383532463984</v>
      </c>
      <c r="W47" s="450">
        <f>'Project Assumptions'!$N$34*(W5/12)*(1+OM_Escal)^(W4-'Project Assumptions'!$N$28)</f>
        <v>249.24335038437903</v>
      </c>
      <c r="X47" s="450">
        <f>'Project Assumptions'!$N$34*(X5/12)*(1+OM_Escal)^(X4-'Project Assumptions'!$N$28)</f>
        <v>106.96693787329599</v>
      </c>
      <c r="Y47" s="450">
        <f>'Project Assumptions'!$N$34*(Y5/12)*(1+OM_Escal)^(Y4-'Project Assumptions'!$N$28)</f>
        <v>0</v>
      </c>
      <c r="Z47" s="450">
        <f>'Project Assumptions'!$N$34*(Z5/12)*(1+OM_Escal)^(Z4-'Project Assumptions'!$N$28)</f>
        <v>0</v>
      </c>
      <c r="AA47" s="450">
        <f>'Project Assumptions'!$N$34*(AA5/12)*(1+OM_Escal)^(AA4-'Project Assumptions'!$N$28)</f>
        <v>0</v>
      </c>
      <c r="AB47" s="451">
        <f>'Project Assumptions'!$N$34*(AB5/12)*(1+OM_Escal)^(AB4-'Project Assumptions'!$N$28)</f>
        <v>0</v>
      </c>
    </row>
    <row r="48" spans="1:28" ht="12.6" customHeight="1">
      <c r="A48" s="1">
        <v>7</v>
      </c>
      <c r="B48" s="449" t="s">
        <v>79</v>
      </c>
      <c r="C48" s="427">
        <f t="shared" si="6"/>
        <v>111.71400813363114</v>
      </c>
      <c r="D48" s="450">
        <f>'Project Assumptions'!$N$35*(D5/12)*((1+OM_Escal)^('Book Income Statement'!D4-'Project Assumptions'!$N$6))</f>
        <v>49.268333333333338</v>
      </c>
      <c r="E48" s="450">
        <f>'Project Assumptions'!$N$35*(E5/12)*((1+OM_Escal)^('Book Income Statement'!E4-'Project Assumptions'!$N$6))</f>
        <v>86.993799999999993</v>
      </c>
      <c r="F48" s="450">
        <f>'Project Assumptions'!$N$35*(F5/12)*((1+OM_Escal)^('Book Income Statement'!F4-'Project Assumptions'!$N$6))</f>
        <v>89.603613999999993</v>
      </c>
      <c r="G48" s="450">
        <f>'Project Assumptions'!$N$35*(G5/12)*((1+OM_Escal)^('Book Income Statement'!G4-'Project Assumptions'!$N$6))</f>
        <v>92.291722419999999</v>
      </c>
      <c r="H48" s="450">
        <f>'Project Assumptions'!$N$35*(H5/12)*((1+OM_Escal)^('Book Income Statement'!H4-'Project Assumptions'!$N$6))</f>
        <v>95.060474092599989</v>
      </c>
      <c r="I48" s="450">
        <f>'Project Assumptions'!$N$35*(I5/12)*((1+OM_Escal)^('Book Income Statement'!I4-'Project Assumptions'!$N$6))</f>
        <v>97.912288315377992</v>
      </c>
      <c r="J48" s="450">
        <f>'Project Assumptions'!$N$35*(J5/12)*((1+OM_Escal)^('Book Income Statement'!J4-'Project Assumptions'!$N$6))</f>
        <v>100.84965696483934</v>
      </c>
      <c r="K48" s="450">
        <f>'Project Assumptions'!$N$35*(K5/12)*((1+OM_Escal)^('Book Income Statement'!K4-'Project Assumptions'!$N$6))</f>
        <v>103.87514667378451</v>
      </c>
      <c r="L48" s="450">
        <f>'Project Assumptions'!$N$35*(L5/12)*((1+OM_Escal)^('Book Income Statement'!L4-'Project Assumptions'!$N$6))</f>
        <v>106.99140107399805</v>
      </c>
      <c r="M48" s="450">
        <f>'Project Assumptions'!$N$35*(M5/12)*((1+OM_Escal)^('Book Income Statement'!M4-'Project Assumptions'!$N$6))</f>
        <v>110.20114310621798</v>
      </c>
      <c r="N48" s="450">
        <f>'Project Assumptions'!$N$35*(N5/12)*((1+OM_Escal)^('Book Income Statement'!N4-'Project Assumptions'!$N$6))</f>
        <v>113.50717739940453</v>
      </c>
      <c r="O48" s="450">
        <f>'Project Assumptions'!$N$35*(O5/12)*((1+OM_Escal)^('Book Income Statement'!O4-'Project Assumptions'!$N$6))</f>
        <v>116.91239272138665</v>
      </c>
      <c r="P48" s="450">
        <f>'Project Assumptions'!$N$35*(P5/12)*((1+OM_Escal)^('Book Income Statement'!P4-'Project Assumptions'!$N$6))</f>
        <v>120.41976450302825</v>
      </c>
      <c r="Q48" s="450">
        <f>'Project Assumptions'!$N$35*(Q5/12)*((1+OM_Escal)^('Book Income Statement'!Q4-'Project Assumptions'!$N$6))</f>
        <v>124.03235743811911</v>
      </c>
      <c r="R48" s="450">
        <f>'Project Assumptions'!$N$35*(R5/12)*((1+OM_Escal)^('Book Income Statement'!R4-'Project Assumptions'!$N$6))</f>
        <v>127.75332816126269</v>
      </c>
      <c r="S48" s="450">
        <f>'Project Assumptions'!$N$35*(S5/12)*((1+OM_Escal)^('Book Income Statement'!S4-'Project Assumptions'!$N$6))</f>
        <v>131.58592800610054</v>
      </c>
      <c r="T48" s="450">
        <f>'Project Assumptions'!$N$35*(T5/12)*((1+OM_Escal)^('Book Income Statement'!T4-'Project Assumptions'!$N$6))</f>
        <v>135.53350584628356</v>
      </c>
      <c r="U48" s="450">
        <f>'Project Assumptions'!$N$35*(U5/12)*((1+OM_Escal)^('Book Income Statement'!U4-'Project Assumptions'!$N$6))</f>
        <v>139.59951102167207</v>
      </c>
      <c r="V48" s="450">
        <f>'Project Assumptions'!$N$35*(V5/12)*((1+OM_Escal)^('Book Income Statement'!V4-'Project Assumptions'!$N$6))</f>
        <v>143.78749635232222</v>
      </c>
      <c r="W48" s="450">
        <f>'Project Assumptions'!$N$35*(W5/12)*((1+OM_Escal)^('Book Income Statement'!W4-'Project Assumptions'!$N$6))</f>
        <v>148.10112124289188</v>
      </c>
      <c r="X48" s="450">
        <f>'Project Assumptions'!$N$35*(X5/12)*((1+OM_Escal)^('Book Income Statement'!X4-'Project Assumptions'!$N$6))</f>
        <v>63.560064533407768</v>
      </c>
      <c r="Y48" s="450">
        <f>'Project Assumptions'!$N$35*(Y5/12)*((1+OM_Escal)^('Book Income Statement'!Y4-'Project Assumptions'!$N$6))</f>
        <v>0</v>
      </c>
      <c r="Z48" s="450">
        <f>'Project Assumptions'!$N$35*(Z5/12)*((1+OM_Escal)^('Book Income Statement'!Z4-'Project Assumptions'!$N$6))</f>
        <v>0</v>
      </c>
      <c r="AA48" s="450">
        <f>'Project Assumptions'!$N$35*(AA5/12)*((1+OM_Escal)^('Book Income Statement'!AA4-'Project Assumptions'!$N$6))</f>
        <v>0</v>
      </c>
      <c r="AB48" s="451">
        <f>'Project Assumptions'!$N$35*(AB5/12)*((1+OM_Escal)^('Book Income Statement'!AB4-'Project Assumptions'!$N$6))</f>
        <v>0</v>
      </c>
    </row>
    <row r="49" spans="1:28" ht="12.6" customHeight="1">
      <c r="A49" s="1">
        <v>7</v>
      </c>
      <c r="B49" s="449" t="s">
        <v>466</v>
      </c>
      <c r="C49" s="427">
        <f t="shared" si="6"/>
        <v>40.870978585474802</v>
      </c>
      <c r="D49" s="450">
        <f>'Project Assumptions'!$N$36*(D5/12)*((1+OM_Escal)^('Book Income Statement'!D4-'Project Assumptions'!$N$6))</f>
        <v>18.025000000000002</v>
      </c>
      <c r="E49" s="450">
        <f>'Project Assumptions'!$N$36*(E5/12)*((1+OM_Escal)^('Book Income Statement'!E4-'Project Assumptions'!$N$6))</f>
        <v>31.826999999999998</v>
      </c>
      <c r="F49" s="450">
        <f>'Project Assumptions'!$N$36*(F5/12)*((1+OM_Escal)^('Book Income Statement'!F4-'Project Assumptions'!$N$6))</f>
        <v>32.78181</v>
      </c>
      <c r="G49" s="450">
        <f>'Project Assumptions'!$N$36*(G5/12)*((1+OM_Escal)^('Book Income Statement'!G4-'Project Assumptions'!$N$6))</f>
        <v>33.765264299999998</v>
      </c>
      <c r="H49" s="450">
        <f>'Project Assumptions'!$N$36*(H5/12)*((1+OM_Escal)^('Book Income Statement'!H4-'Project Assumptions'!$N$6))</f>
        <v>34.778222228999994</v>
      </c>
      <c r="I49" s="450">
        <f>'Project Assumptions'!$N$36*(I5/12)*((1+OM_Escal)^('Book Income Statement'!I4-'Project Assumptions'!$N$6))</f>
        <v>35.821568895869994</v>
      </c>
      <c r="J49" s="450">
        <f>'Project Assumptions'!$N$36*(J5/12)*((1+OM_Escal)^('Book Income Statement'!J4-'Project Assumptions'!$N$6))</f>
        <v>36.896215962746098</v>
      </c>
      <c r="K49" s="450">
        <f>'Project Assumptions'!$N$36*(K5/12)*((1+OM_Escal)^('Book Income Statement'!K4-'Project Assumptions'!$N$6))</f>
        <v>38.003102441628478</v>
      </c>
      <c r="L49" s="450">
        <f>'Project Assumptions'!$N$36*(L5/12)*((1+OM_Escal)^('Book Income Statement'!L4-'Project Assumptions'!$N$6))</f>
        <v>39.143195514877334</v>
      </c>
      <c r="M49" s="450">
        <f>'Project Assumptions'!$N$36*(M5/12)*((1+OM_Escal)^('Book Income Statement'!M4-'Project Assumptions'!$N$6))</f>
        <v>40.317491380323652</v>
      </c>
      <c r="N49" s="450">
        <f>'Project Assumptions'!$N$36*(N5/12)*((1+OM_Escal)^('Book Income Statement'!N4-'Project Assumptions'!$N$6))</f>
        <v>41.527016121733368</v>
      </c>
      <c r="O49" s="450">
        <f>'Project Assumptions'!$N$36*(O5/12)*((1+OM_Escal)^('Book Income Statement'!O4-'Project Assumptions'!$N$6))</f>
        <v>42.772826605385362</v>
      </c>
      <c r="P49" s="450">
        <f>'Project Assumptions'!$N$36*(P5/12)*((1+OM_Escal)^('Book Income Statement'!P4-'Project Assumptions'!$N$6))</f>
        <v>44.056011403546918</v>
      </c>
      <c r="Q49" s="450">
        <f>'Project Assumptions'!$N$36*(Q5/12)*((1+OM_Escal)^('Book Income Statement'!Q4-'Project Assumptions'!$N$6))</f>
        <v>45.37769174565333</v>
      </c>
      <c r="R49" s="450">
        <f>'Project Assumptions'!$N$36*(R5/12)*((1+OM_Escal)^('Book Income Statement'!R4-'Project Assumptions'!$N$6))</f>
        <v>46.739022498022933</v>
      </c>
      <c r="S49" s="450">
        <f>'Project Assumptions'!$N$36*(S5/12)*((1+OM_Escal)^('Book Income Statement'!S4-'Project Assumptions'!$N$6))</f>
        <v>48.141193172963611</v>
      </c>
      <c r="T49" s="450">
        <f>'Project Assumptions'!$N$36*(T5/12)*((1+OM_Escal)^('Book Income Statement'!T4-'Project Assumptions'!$N$6))</f>
        <v>49.58542896815252</v>
      </c>
      <c r="U49" s="450">
        <f>'Project Assumptions'!$N$36*(U5/12)*((1+OM_Escal)^('Book Income Statement'!U4-'Project Assumptions'!$N$6))</f>
        <v>51.072991837197094</v>
      </c>
      <c r="V49" s="450">
        <f>'Project Assumptions'!$N$36*(V5/12)*((1+OM_Escal)^('Book Income Statement'!V4-'Project Assumptions'!$N$6))</f>
        <v>52.605181592313009</v>
      </c>
      <c r="W49" s="450">
        <f>'Project Assumptions'!$N$36*(W5/12)*((1+OM_Escal)^('Book Income Statement'!W4-'Project Assumptions'!$N$6))</f>
        <v>54.183337040082399</v>
      </c>
      <c r="X49" s="450">
        <f>'Project Assumptions'!$N$36*(X5/12)*((1+OM_Escal)^('Book Income Statement'!X4-'Project Assumptions'!$N$6))</f>
        <v>23.253682146368693</v>
      </c>
      <c r="Y49" s="450">
        <f>'Project Assumptions'!$N$36*(Y5/12)*((1+OM_Escal)^('Book Income Statement'!Y4-'Project Assumptions'!$N$6))</f>
        <v>0</v>
      </c>
      <c r="Z49" s="450">
        <f>'Project Assumptions'!$N$36*(Z5/12)*((1+OM_Escal)^('Book Income Statement'!Z4-'Project Assumptions'!$N$6))</f>
        <v>0</v>
      </c>
      <c r="AA49" s="450">
        <f>'Project Assumptions'!$N$36*(AA5/12)*((1+OM_Escal)^('Book Income Statement'!AA4-'Project Assumptions'!$N$6))</f>
        <v>0</v>
      </c>
      <c r="AB49" s="451">
        <f>'Project Assumptions'!$N$36*(AB5/12)*((1+OM_Escal)^('Book Income Statement'!AB4-'Project Assumptions'!$N$6))</f>
        <v>0</v>
      </c>
    </row>
    <row r="50" spans="1:28" ht="12.6" customHeight="1">
      <c r="A50" s="1">
        <v>7</v>
      </c>
      <c r="B50" s="449" t="s">
        <v>80</v>
      </c>
      <c r="C50" s="429">
        <f t="shared" si="6"/>
        <v>102.17744646368701</v>
      </c>
      <c r="D50" s="474">
        <f>'Project Assumptions'!$N$37*(D5/12)*((1+OM_Escal)^('Book Income Statement'!D4-'Project Assumptions'!$N$28))</f>
        <v>45.0625</v>
      </c>
      <c r="E50" s="474">
        <f>'Project Assumptions'!$N$37*(E5/12)*((1+OM_Escal)^('Book Income Statement'!E4-'Project Assumptions'!$N$28))</f>
        <v>79.567499999999995</v>
      </c>
      <c r="F50" s="474">
        <f>'Project Assumptions'!$N$37*(F5/12)*((1+OM_Escal)^('Book Income Statement'!F4-'Project Assumptions'!$N$28))</f>
        <v>81.954525000000004</v>
      </c>
      <c r="G50" s="474">
        <f>'Project Assumptions'!$N$37*(G5/12)*((1+OM_Escal)^('Book Income Statement'!G4-'Project Assumptions'!$N$28))</f>
        <v>84.413160749999989</v>
      </c>
      <c r="H50" s="474">
        <f>'Project Assumptions'!$N$37*(H5/12)*((1+OM_Escal)^('Book Income Statement'!H4-'Project Assumptions'!$N$28))</f>
        <v>86.945555572499984</v>
      </c>
      <c r="I50" s="474">
        <f>'Project Assumptions'!$N$37*(I5/12)*((1+OM_Escal)^('Book Income Statement'!I4-'Project Assumptions'!$N$28))</f>
        <v>89.553922239674989</v>
      </c>
      <c r="J50" s="474">
        <f>'Project Assumptions'!$N$37*(J5/12)*((1+OM_Escal)^('Book Income Statement'!J4-'Project Assumptions'!$N$28))</f>
        <v>92.240539906865251</v>
      </c>
      <c r="K50" s="474">
        <f>'Project Assumptions'!$N$37*(K5/12)*((1+OM_Escal)^('Book Income Statement'!K4-'Project Assumptions'!$N$28))</f>
        <v>95.007756104071191</v>
      </c>
      <c r="L50" s="474">
        <f>'Project Assumptions'!$N$37*(L5/12)*((1+OM_Escal)^('Book Income Statement'!L4-'Project Assumptions'!$N$28))</f>
        <v>97.857988787193335</v>
      </c>
      <c r="M50" s="474">
        <f>'Project Assumptions'!$N$37*(M5/12)*((1+OM_Escal)^('Book Income Statement'!M4-'Project Assumptions'!$N$28))</f>
        <v>100.79372845080913</v>
      </c>
      <c r="N50" s="474">
        <f>'Project Assumptions'!$N$37*(N5/12)*((1+OM_Escal)^('Book Income Statement'!N4-'Project Assumptions'!$N$28))</f>
        <v>103.81754030433341</v>
      </c>
      <c r="O50" s="474">
        <f>'Project Assumptions'!$N$37*(O5/12)*((1+OM_Escal)^('Book Income Statement'!O4-'Project Assumptions'!$N$28))</f>
        <v>106.9320665134634</v>
      </c>
      <c r="P50" s="474">
        <f>'Project Assumptions'!$N$37*(P5/12)*((1+OM_Escal)^('Book Income Statement'!P4-'Project Assumptions'!$N$28))</f>
        <v>110.14002850886729</v>
      </c>
      <c r="Q50" s="474">
        <f>'Project Assumptions'!$N$37*(Q5/12)*((1+OM_Escal)^('Book Income Statement'!Q4-'Project Assumptions'!$N$28))</f>
        <v>113.44422936413332</v>
      </c>
      <c r="R50" s="474">
        <f>'Project Assumptions'!$N$37*(R5/12)*((1+OM_Escal)^('Book Income Statement'!R4-'Project Assumptions'!$N$28))</f>
        <v>116.84755624505733</v>
      </c>
      <c r="S50" s="474">
        <f>'Project Assumptions'!$N$37*(S5/12)*((1+OM_Escal)^('Book Income Statement'!S4-'Project Assumptions'!$N$28))</f>
        <v>120.35298293240903</v>
      </c>
      <c r="T50" s="474">
        <f>'Project Assumptions'!$N$37*(T5/12)*((1+OM_Escal)^('Book Income Statement'!T4-'Project Assumptions'!$N$28))</f>
        <v>123.9635724203813</v>
      </c>
      <c r="U50" s="474">
        <f>'Project Assumptions'!$N$37*(U5/12)*((1+OM_Escal)^('Book Income Statement'!U4-'Project Assumptions'!$N$28))</f>
        <v>127.68247959299275</v>
      </c>
      <c r="V50" s="474">
        <f>'Project Assumptions'!$N$37*(V5/12)*((1+OM_Escal)^('Book Income Statement'!V4-'Project Assumptions'!$N$28))</f>
        <v>131.51295398078253</v>
      </c>
      <c r="W50" s="474">
        <f>'Project Assumptions'!$N$37*(W5/12)*((1+OM_Escal)^('Book Income Statement'!W4-'Project Assumptions'!$N$28))</f>
        <v>135.45834260020598</v>
      </c>
      <c r="X50" s="474">
        <f>'Project Assumptions'!$N$37*(X5/12)*((1+OM_Escal)^('Book Income Statement'!X4-'Project Assumptions'!$N$28))</f>
        <v>58.13420536592173</v>
      </c>
      <c r="Y50" s="474">
        <f>'Project Assumptions'!$N$37*(Y5/12)*((1+OM_Escal)^('Book Income Statement'!Y4-'Project Assumptions'!$N$28))</f>
        <v>0</v>
      </c>
      <c r="Z50" s="474">
        <f>'Project Assumptions'!$N$37*(Z5/12)*((1+OM_Escal)^('Book Income Statement'!Z4-'Project Assumptions'!$N$28))</f>
        <v>0</v>
      </c>
      <c r="AA50" s="474">
        <f>'Project Assumptions'!$N$37*(AA5/12)*((1+OM_Escal)^('Book Income Statement'!AA4-'Project Assumptions'!$N$28))</f>
        <v>0</v>
      </c>
      <c r="AB50" s="475">
        <f>'Project Assumptions'!$N$37*(AB5/12)*((1+OM_Escal)^('Book Income Statement'!AB4-'Project Assumptions'!$N$28))</f>
        <v>0</v>
      </c>
    </row>
    <row r="51" spans="1:28" ht="15" customHeight="1">
      <c r="B51" s="468" t="s">
        <v>437</v>
      </c>
      <c r="C51" s="596"/>
      <c r="D51" s="963">
        <f t="shared" ref="D51:AB51" si="8">D45+SUM(D46:D50)</f>
        <v>427.79333333333341</v>
      </c>
      <c r="E51" s="963">
        <f t="shared" si="8"/>
        <v>702.31579999999985</v>
      </c>
      <c r="F51" s="963">
        <f t="shared" si="8"/>
        <v>723.38527399999998</v>
      </c>
      <c r="G51" s="963">
        <f t="shared" si="8"/>
        <v>745.08683221999991</v>
      </c>
      <c r="H51" s="963">
        <f t="shared" si="8"/>
        <v>767.43943718659989</v>
      </c>
      <c r="I51" s="963">
        <f t="shared" si="8"/>
        <v>790.46262030219782</v>
      </c>
      <c r="J51" s="963">
        <f t="shared" si="8"/>
        <v>814.17649891126393</v>
      </c>
      <c r="K51" s="963">
        <f t="shared" si="8"/>
        <v>838.60179387860171</v>
      </c>
      <c r="L51" s="963">
        <f t="shared" si="8"/>
        <v>863.75984769495994</v>
      </c>
      <c r="M51" s="963">
        <f t="shared" si="8"/>
        <v>889.67264312580869</v>
      </c>
      <c r="N51" s="963">
        <f t="shared" si="8"/>
        <v>916.36282241958293</v>
      </c>
      <c r="O51" s="963">
        <f t="shared" si="8"/>
        <v>943.85370709217023</v>
      </c>
      <c r="P51" s="963">
        <f t="shared" si="8"/>
        <v>972.16931830493536</v>
      </c>
      <c r="Q51" s="963">
        <f t="shared" si="8"/>
        <v>1001.3343978540834</v>
      </c>
      <c r="R51" s="963">
        <f t="shared" si="8"/>
        <v>1031.374429789706</v>
      </c>
      <c r="S51" s="963">
        <f t="shared" si="8"/>
        <v>1062.3156626833972</v>
      </c>
      <c r="T51" s="963">
        <f t="shared" si="8"/>
        <v>1094.1851325638988</v>
      </c>
      <c r="U51" s="963">
        <f t="shared" si="8"/>
        <v>1127.0106865408161</v>
      </c>
      <c r="V51" s="963">
        <f t="shared" si="8"/>
        <v>1160.8210071370404</v>
      </c>
      <c r="W51" s="963">
        <f t="shared" si="8"/>
        <v>1195.6456373511514</v>
      </c>
      <c r="X51" s="963">
        <f t="shared" si="8"/>
        <v>589.09328104134033</v>
      </c>
      <c r="Y51" s="963">
        <f t="shared" si="8"/>
        <v>0</v>
      </c>
      <c r="Z51" s="963">
        <f t="shared" si="8"/>
        <v>0</v>
      </c>
      <c r="AA51" s="963">
        <f t="shared" si="8"/>
        <v>0</v>
      </c>
      <c r="AB51" s="964">
        <f t="shared" si="8"/>
        <v>0</v>
      </c>
    </row>
    <row r="52" spans="1:28" ht="12.6" customHeight="1">
      <c r="B52" s="449"/>
      <c r="C52" s="425"/>
      <c r="D52" s="474"/>
      <c r="E52" s="474"/>
      <c r="F52" s="474"/>
      <c r="G52" s="474"/>
      <c r="H52" s="474"/>
      <c r="I52" s="474"/>
      <c r="J52" s="474"/>
      <c r="K52" s="474"/>
      <c r="L52" s="474"/>
      <c r="M52" s="474"/>
      <c r="N52" s="474"/>
      <c r="O52" s="474"/>
      <c r="P52" s="474"/>
      <c r="Q52" s="474"/>
      <c r="R52" s="474"/>
      <c r="S52" s="474"/>
      <c r="T52" s="474"/>
      <c r="U52" s="474"/>
      <c r="V52" s="474"/>
      <c r="W52" s="474"/>
      <c r="X52" s="474"/>
      <c r="Y52" s="474"/>
      <c r="Z52" s="474"/>
      <c r="AA52" s="474"/>
      <c r="AB52" s="475"/>
    </row>
    <row r="53" spans="1:28" ht="12.6" customHeight="1">
      <c r="A53" s="1">
        <v>8</v>
      </c>
      <c r="B53" s="468" t="s">
        <v>537</v>
      </c>
      <c r="C53" s="962">
        <f>AVERAGE(D53:W53)</f>
        <v>245.60635648000002</v>
      </c>
      <c r="D53" s="934">
        <f>IF(D3&gt;'Project Assumptions'!$I$15+1,0,Depreciation!D51)</f>
        <v>245.60635648000002</v>
      </c>
      <c r="E53" s="934">
        <f>IF(E3&gt;'Project Assumptions'!$I$15+1,0,Depreciation!E51)</f>
        <v>245.60635648000002</v>
      </c>
      <c r="F53" s="934">
        <f>IF(F3&gt;'Project Assumptions'!$I$15+1,0,Depreciation!F51)</f>
        <v>245.60635648000002</v>
      </c>
      <c r="G53" s="934">
        <f>IF(G3&gt;'Project Assumptions'!$I$15+1,0,Depreciation!G51)</f>
        <v>245.60635648000002</v>
      </c>
      <c r="H53" s="934">
        <f>IF(H3&gt;'Project Assumptions'!$I$15+1,0,Depreciation!H51)</f>
        <v>245.60635648000002</v>
      </c>
      <c r="I53" s="934">
        <f>IF(I3&gt;'Project Assumptions'!$I$15+1,0,Depreciation!I51)</f>
        <v>245.60635648000002</v>
      </c>
      <c r="J53" s="934">
        <f>IF(J3&gt;'Project Assumptions'!$I$15+1,0,Depreciation!J51)</f>
        <v>245.60635648000002</v>
      </c>
      <c r="K53" s="934">
        <f>IF(K3&gt;'Project Assumptions'!$I$15+1,0,Depreciation!K51)</f>
        <v>245.60635648000002</v>
      </c>
      <c r="L53" s="934">
        <f>IF(L3&gt;'Project Assumptions'!$I$15+1,0,Depreciation!L51)</f>
        <v>245.60635648000002</v>
      </c>
      <c r="M53" s="934">
        <f>IF(M3&gt;'Project Assumptions'!$I$15+1,0,Depreciation!M51)</f>
        <v>245.60635648000002</v>
      </c>
      <c r="N53" s="934">
        <f>IF(N3&gt;'Project Assumptions'!$I$15+1,0,Depreciation!N51)</f>
        <v>245.60635648000002</v>
      </c>
      <c r="O53" s="934">
        <f>IF(O3&gt;'Project Assumptions'!$I$15+1,0,Depreciation!O51)</f>
        <v>245.60635648000002</v>
      </c>
      <c r="P53" s="934">
        <f>IF(P3&gt;'Project Assumptions'!$I$15+1,0,Depreciation!P51)</f>
        <v>245.60635648000002</v>
      </c>
      <c r="Q53" s="934">
        <f>IF(Q3&gt;'Project Assumptions'!$I$15+1,0,Depreciation!Q51)</f>
        <v>245.60635648000002</v>
      </c>
      <c r="R53" s="934">
        <f>IF(R3&gt;'Project Assumptions'!$I$15+1,0,Depreciation!R51)</f>
        <v>245.60635648000002</v>
      </c>
      <c r="S53" s="934">
        <f>IF(S3&gt;'Project Assumptions'!$I$15+1,0,Depreciation!S51)</f>
        <v>245.60635648000002</v>
      </c>
      <c r="T53" s="934">
        <f>IF(T3&gt;'Project Assumptions'!$I$15+1,0,Depreciation!T51)</f>
        <v>245.60635648000002</v>
      </c>
      <c r="U53" s="934">
        <f>IF(U3&gt;'Project Assumptions'!$I$15+1,0,Depreciation!U51)</f>
        <v>245.60635648000002</v>
      </c>
      <c r="V53" s="934">
        <f>IF(V3&gt;'Project Assumptions'!$I$15+1,0,Depreciation!V51)</f>
        <v>245.60635648000002</v>
      </c>
      <c r="W53" s="934">
        <f>IF(W3&gt;'Project Assumptions'!$I$15+1,0,Depreciation!W51)</f>
        <v>245.60635648000002</v>
      </c>
      <c r="X53" s="934">
        <f>IF(X3&gt;'Project Assumptions'!$I$15+1+1,0,Depreciation!X51)</f>
        <v>245.60635648000002</v>
      </c>
      <c r="Y53" s="934">
        <f>IF(Y3&gt;'Project Assumptions'!$I$15+1,0,Depreciation!Y51)</f>
        <v>0</v>
      </c>
      <c r="Z53" s="934">
        <f>IF(Z3&gt;'Project Assumptions'!$I$15+1,0,Depreciation!Z51)</f>
        <v>0</v>
      </c>
      <c r="AA53" s="934">
        <f>IF(AA3&gt;'Project Assumptions'!$I$15+1,0,Depreciation!AA51)</f>
        <v>0</v>
      </c>
      <c r="AB53" s="935">
        <f>IF(AB3&gt;'Project Assumptions'!$I$15+1,0,Depreciation!AB51)</f>
        <v>0</v>
      </c>
    </row>
    <row r="54" spans="1:28" ht="12.6" customHeight="1">
      <c r="B54" s="468"/>
      <c r="C54" s="425"/>
      <c r="D54" s="476"/>
      <c r="E54" s="476"/>
      <c r="F54" s="476"/>
      <c r="G54" s="476"/>
      <c r="H54" s="476"/>
      <c r="I54" s="476"/>
      <c r="J54" s="476"/>
      <c r="K54" s="476"/>
      <c r="L54" s="476"/>
      <c r="M54" s="476"/>
      <c r="N54" s="476"/>
      <c r="O54" s="476"/>
      <c r="P54" s="476"/>
      <c r="Q54" s="476"/>
      <c r="R54" s="476"/>
      <c r="S54" s="476"/>
      <c r="T54" s="476"/>
      <c r="U54" s="476"/>
      <c r="V54" s="476"/>
      <c r="W54" s="476"/>
      <c r="X54" s="476"/>
      <c r="Y54" s="476"/>
      <c r="Z54" s="476"/>
      <c r="AA54" s="476"/>
      <c r="AB54" s="477"/>
    </row>
    <row r="55" spans="1:28" ht="12.6" customHeight="1">
      <c r="B55" s="468" t="s">
        <v>481</v>
      </c>
      <c r="C55" s="425"/>
      <c r="D55" s="476"/>
      <c r="E55" s="476"/>
      <c r="F55" s="476"/>
      <c r="G55" s="476"/>
      <c r="H55" s="476"/>
      <c r="I55" s="476"/>
      <c r="J55" s="476"/>
      <c r="K55" s="476"/>
      <c r="L55" s="476"/>
      <c r="M55" s="476"/>
      <c r="N55" s="476"/>
      <c r="O55" s="476"/>
      <c r="P55" s="476"/>
      <c r="Q55" s="476"/>
      <c r="R55" s="476"/>
      <c r="S55" s="476"/>
      <c r="T55" s="476"/>
      <c r="U55" s="476"/>
      <c r="V55" s="476"/>
      <c r="W55" s="476"/>
      <c r="X55" s="476"/>
      <c r="Y55" s="476"/>
      <c r="Z55" s="476"/>
      <c r="AA55" s="476"/>
      <c r="AB55" s="477"/>
    </row>
    <row r="56" spans="1:28" ht="12.6" customHeight="1">
      <c r="A56" s="1">
        <v>8</v>
      </c>
      <c r="B56" s="449" t="s">
        <v>482</v>
      </c>
      <c r="C56" s="426">
        <f>AVERAGE(D56:W56)</f>
        <v>0</v>
      </c>
      <c r="D56" s="478">
        <f>'Tax Calculations'!D10</f>
        <v>0</v>
      </c>
      <c r="E56" s="478">
        <f>'Tax Calculations'!E10</f>
        <v>0</v>
      </c>
      <c r="F56" s="478">
        <f>'Tax Calculations'!F10</f>
        <v>0</v>
      </c>
      <c r="G56" s="478">
        <f>'Tax Calculations'!G10</f>
        <v>0</v>
      </c>
      <c r="H56" s="478">
        <f>'Tax Calculations'!H10</f>
        <v>0</v>
      </c>
      <c r="I56" s="478">
        <f>'Tax Calculations'!I10</f>
        <v>0</v>
      </c>
      <c r="J56" s="478">
        <f>'Tax Calculations'!J10</f>
        <v>0</v>
      </c>
      <c r="K56" s="478">
        <f>'Tax Calculations'!K10</f>
        <v>0</v>
      </c>
      <c r="L56" s="478">
        <f>'Tax Calculations'!L10</f>
        <v>0</v>
      </c>
      <c r="M56" s="478">
        <f>'Tax Calculations'!M10</f>
        <v>0</v>
      </c>
      <c r="N56" s="478">
        <f>'Tax Calculations'!N10</f>
        <v>0</v>
      </c>
      <c r="O56" s="478">
        <f>'Tax Calculations'!O10</f>
        <v>0</v>
      </c>
      <c r="P56" s="478">
        <f>'Tax Calculations'!P10</f>
        <v>0</v>
      </c>
      <c r="Q56" s="478">
        <f>'Tax Calculations'!Q10</f>
        <v>0</v>
      </c>
      <c r="R56" s="478">
        <f>'Tax Calculations'!R10</f>
        <v>0</v>
      </c>
      <c r="S56" s="478">
        <f>'Tax Calculations'!S10</f>
        <v>0</v>
      </c>
      <c r="T56" s="478">
        <f>'Tax Calculations'!T10</f>
        <v>0</v>
      </c>
      <c r="U56" s="478">
        <f>'Tax Calculations'!U10</f>
        <v>0</v>
      </c>
      <c r="V56" s="478">
        <f>'Tax Calculations'!V10</f>
        <v>0</v>
      </c>
      <c r="W56" s="478">
        <f>'Tax Calculations'!W10</f>
        <v>0</v>
      </c>
      <c r="X56" s="478">
        <f>'Tax Calculations'!X10</f>
        <v>0</v>
      </c>
      <c r="Y56" s="478">
        <f>'Tax Calculations'!Y10</f>
        <v>0</v>
      </c>
      <c r="Z56" s="478">
        <f>'Tax Calculations'!Z10</f>
        <v>0</v>
      </c>
      <c r="AA56" s="478">
        <f>'Tax Calculations'!AA10</f>
        <v>0</v>
      </c>
      <c r="AB56" s="479">
        <f>'Tax Calculations'!AB10</f>
        <v>0</v>
      </c>
    </row>
    <row r="57" spans="1:28" ht="12.6" customHeight="1">
      <c r="A57" s="1">
        <v>8</v>
      </c>
      <c r="B57" s="449" t="s">
        <v>483</v>
      </c>
      <c r="C57" s="428">
        <f>AVERAGE(D57:W57)</f>
        <v>0</v>
      </c>
      <c r="D57" s="476">
        <f>'Tax Calculations'!D15</f>
        <v>0</v>
      </c>
      <c r="E57" s="476">
        <f>'Tax Calculations'!E15</f>
        <v>0</v>
      </c>
      <c r="F57" s="476">
        <f>'Tax Calculations'!F15</f>
        <v>0</v>
      </c>
      <c r="G57" s="476">
        <f>'Tax Calculations'!G15</f>
        <v>0</v>
      </c>
      <c r="H57" s="476">
        <f>'Tax Calculations'!H15</f>
        <v>0</v>
      </c>
      <c r="I57" s="476">
        <f>'Tax Calculations'!I15</f>
        <v>0</v>
      </c>
      <c r="J57" s="476">
        <f>'Tax Calculations'!J15</f>
        <v>0</v>
      </c>
      <c r="K57" s="476">
        <f>'Tax Calculations'!K15</f>
        <v>0</v>
      </c>
      <c r="L57" s="476">
        <f>'Tax Calculations'!L15</f>
        <v>0</v>
      </c>
      <c r="M57" s="476">
        <f>'Tax Calculations'!M15</f>
        <v>0</v>
      </c>
      <c r="N57" s="476">
        <f>'Tax Calculations'!N15</f>
        <v>0</v>
      </c>
      <c r="O57" s="476">
        <f>'Tax Calculations'!O15</f>
        <v>0</v>
      </c>
      <c r="P57" s="476">
        <f>'Tax Calculations'!P15</f>
        <v>0</v>
      </c>
      <c r="Q57" s="476">
        <f>'Tax Calculations'!Q15</f>
        <v>0</v>
      </c>
      <c r="R57" s="476">
        <f>'Tax Calculations'!R15</f>
        <v>0</v>
      </c>
      <c r="S57" s="476">
        <f>'Tax Calculations'!S15</f>
        <v>0</v>
      </c>
      <c r="T57" s="476">
        <f>'Tax Calculations'!T15</f>
        <v>0</v>
      </c>
      <c r="U57" s="476">
        <f>'Tax Calculations'!U15</f>
        <v>0</v>
      </c>
      <c r="V57" s="476">
        <f>'Tax Calculations'!V15</f>
        <v>0</v>
      </c>
      <c r="W57" s="476">
        <f>'Tax Calculations'!W15</f>
        <v>0</v>
      </c>
      <c r="X57" s="476">
        <f>'Tax Calculations'!X15</f>
        <v>0</v>
      </c>
      <c r="Y57" s="476">
        <f>'Tax Calculations'!Y15</f>
        <v>0</v>
      </c>
      <c r="Z57" s="476">
        <f>'Tax Calculations'!Z15</f>
        <v>0</v>
      </c>
      <c r="AA57" s="476">
        <f>'Tax Calculations'!AA15</f>
        <v>0</v>
      </c>
      <c r="AB57" s="477">
        <f>'Tax Calculations'!AB15</f>
        <v>0</v>
      </c>
    </row>
    <row r="58" spans="1:28" ht="12.6" customHeight="1">
      <c r="B58" s="468" t="s">
        <v>484</v>
      </c>
      <c r="C58" s="429">
        <f>AVERAGE(D58:W58)</f>
        <v>0</v>
      </c>
      <c r="D58" s="936">
        <f>SUM(D56:D57)</f>
        <v>0</v>
      </c>
      <c r="E58" s="936">
        <f t="shared" ref="E58:AB58" si="9">SUM(E56:E57)</f>
        <v>0</v>
      </c>
      <c r="F58" s="936">
        <f t="shared" si="9"/>
        <v>0</v>
      </c>
      <c r="G58" s="936">
        <f t="shared" si="9"/>
        <v>0</v>
      </c>
      <c r="H58" s="936">
        <f t="shared" si="9"/>
        <v>0</v>
      </c>
      <c r="I58" s="936">
        <f t="shared" si="9"/>
        <v>0</v>
      </c>
      <c r="J58" s="936">
        <f t="shared" si="9"/>
        <v>0</v>
      </c>
      <c r="K58" s="936">
        <f t="shared" si="9"/>
        <v>0</v>
      </c>
      <c r="L58" s="936">
        <f t="shared" si="9"/>
        <v>0</v>
      </c>
      <c r="M58" s="936">
        <f t="shared" si="9"/>
        <v>0</v>
      </c>
      <c r="N58" s="936">
        <f t="shared" si="9"/>
        <v>0</v>
      </c>
      <c r="O58" s="936">
        <f t="shared" si="9"/>
        <v>0</v>
      </c>
      <c r="P58" s="936">
        <f t="shared" si="9"/>
        <v>0</v>
      </c>
      <c r="Q58" s="936">
        <f t="shared" si="9"/>
        <v>0</v>
      </c>
      <c r="R58" s="936">
        <f t="shared" si="9"/>
        <v>0</v>
      </c>
      <c r="S58" s="936">
        <f t="shared" si="9"/>
        <v>0</v>
      </c>
      <c r="T58" s="936">
        <f t="shared" si="9"/>
        <v>0</v>
      </c>
      <c r="U58" s="936">
        <f t="shared" si="9"/>
        <v>0</v>
      </c>
      <c r="V58" s="936">
        <f t="shared" si="9"/>
        <v>0</v>
      </c>
      <c r="W58" s="936">
        <f t="shared" si="9"/>
        <v>0</v>
      </c>
      <c r="X58" s="936">
        <f t="shared" si="9"/>
        <v>0</v>
      </c>
      <c r="Y58" s="936">
        <f t="shared" si="9"/>
        <v>0</v>
      </c>
      <c r="Z58" s="936">
        <f t="shared" si="9"/>
        <v>0</v>
      </c>
      <c r="AA58" s="936">
        <f t="shared" si="9"/>
        <v>0</v>
      </c>
      <c r="AB58" s="937">
        <f t="shared" si="9"/>
        <v>0</v>
      </c>
    </row>
    <row r="59" spans="1:28" ht="12.6" customHeight="1">
      <c r="B59" s="449"/>
      <c r="C59" s="425"/>
      <c r="D59" s="474"/>
      <c r="E59" s="474"/>
      <c r="F59" s="474"/>
      <c r="G59" s="474"/>
      <c r="H59" s="474"/>
      <c r="I59" s="474"/>
      <c r="J59" s="474"/>
      <c r="K59" s="474"/>
      <c r="L59" s="474"/>
      <c r="M59" s="474"/>
      <c r="N59" s="474"/>
      <c r="O59" s="474"/>
      <c r="P59" s="474"/>
      <c r="Q59" s="474"/>
      <c r="R59" s="474"/>
      <c r="S59" s="474"/>
      <c r="T59" s="474"/>
      <c r="U59" s="474"/>
      <c r="V59" s="474"/>
      <c r="W59" s="474"/>
      <c r="X59" s="474"/>
      <c r="Y59" s="474"/>
      <c r="Z59" s="474"/>
      <c r="AA59" s="474"/>
      <c r="AB59" s="475"/>
    </row>
    <row r="60" spans="1:28" ht="12.6" customHeight="1">
      <c r="B60" s="460" t="s">
        <v>438</v>
      </c>
      <c r="C60" s="461"/>
      <c r="D60" s="965">
        <f>D29+D34+D42+D51+D53+D58</f>
        <v>21358.369035191048</v>
      </c>
      <c r="E60" s="965">
        <f t="shared" ref="E60:AB60" si="10">E29+E34+E42+E51+E53+E58</f>
        <v>22387.77003276625</v>
      </c>
      <c r="F60" s="965">
        <f t="shared" si="10"/>
        <v>22551.227503425569</v>
      </c>
      <c r="G60" s="965">
        <f t="shared" si="10"/>
        <v>23357.218506205747</v>
      </c>
      <c r="H60" s="965">
        <f t="shared" si="10"/>
        <v>23849.843185960413</v>
      </c>
      <c r="I60" s="965">
        <f t="shared" si="10"/>
        <v>24042.412359685557</v>
      </c>
      <c r="J60" s="965">
        <f t="shared" si="10"/>
        <v>24240.893899673152</v>
      </c>
      <c r="K60" s="965">
        <f t="shared" si="10"/>
        <v>24445.645156860875</v>
      </c>
      <c r="L60" s="965">
        <f t="shared" si="10"/>
        <v>24656.538951764236</v>
      </c>
      <c r="M60" s="965">
        <f t="shared" si="10"/>
        <v>24873.759560514693</v>
      </c>
      <c r="N60" s="965">
        <f t="shared" si="10"/>
        <v>25097.496787527663</v>
      </c>
      <c r="O60" s="965">
        <f t="shared" si="10"/>
        <v>25327.946131351018</v>
      </c>
      <c r="P60" s="965">
        <f t="shared" si="10"/>
        <v>25565.308955489079</v>
      </c>
      <c r="Q60" s="965">
        <f t="shared" si="10"/>
        <v>25809.79266435128</v>
      </c>
      <c r="R60" s="965">
        <f t="shared" si="10"/>
        <v>26061.610884479356</v>
      </c>
      <c r="S60" s="965">
        <f t="shared" si="10"/>
        <v>26320.983651211263</v>
      </c>
      <c r="T60" s="965">
        <f t="shared" si="10"/>
        <v>26588.137600945131</v>
      </c>
      <c r="U60" s="965">
        <f t="shared" si="10"/>
        <v>26863.306169171017</v>
      </c>
      <c r="V60" s="965">
        <f t="shared" si="10"/>
        <v>27146.72979444368</v>
      </c>
      <c r="W60" s="965">
        <f t="shared" si="10"/>
        <v>27438.656128474518</v>
      </c>
      <c r="X60" s="965">
        <f t="shared" si="10"/>
        <v>25122.640506368269</v>
      </c>
      <c r="Y60" s="965">
        <f t="shared" si="10"/>
        <v>0</v>
      </c>
      <c r="Z60" s="965">
        <f t="shared" si="10"/>
        <v>0</v>
      </c>
      <c r="AA60" s="965">
        <f t="shared" si="10"/>
        <v>0</v>
      </c>
      <c r="AB60" s="965">
        <f t="shared" si="10"/>
        <v>0</v>
      </c>
    </row>
    <row r="61" spans="1:28" ht="12.6" customHeight="1" thickBot="1">
      <c r="B61" s="480"/>
      <c r="C61" s="481"/>
      <c r="D61" s="482"/>
      <c r="E61" s="482"/>
      <c r="F61" s="482"/>
      <c r="G61" s="482"/>
      <c r="H61" s="482"/>
      <c r="I61" s="482"/>
      <c r="J61" s="482"/>
      <c r="K61" s="482"/>
      <c r="L61" s="482"/>
      <c r="M61" s="482"/>
      <c r="N61" s="482"/>
      <c r="O61" s="482"/>
      <c r="P61" s="482"/>
      <c r="Q61" s="482"/>
      <c r="R61" s="482"/>
      <c r="S61" s="482"/>
      <c r="T61" s="482"/>
      <c r="U61" s="482"/>
      <c r="V61" s="482"/>
      <c r="W61" s="482"/>
      <c r="X61" s="482"/>
      <c r="Y61" s="482"/>
      <c r="Z61" s="482"/>
      <c r="AA61" s="482"/>
      <c r="AB61" s="482"/>
    </row>
    <row r="62" spans="1:28" ht="12.6" customHeight="1">
      <c r="B62" s="483"/>
      <c r="C62" s="425"/>
      <c r="D62" s="484"/>
      <c r="E62" s="484"/>
      <c r="F62" s="484"/>
      <c r="G62" s="484"/>
      <c r="H62" s="484"/>
      <c r="I62" s="484"/>
      <c r="J62" s="484"/>
      <c r="K62" s="484"/>
      <c r="L62" s="484"/>
      <c r="M62" s="484"/>
      <c r="N62" s="484"/>
      <c r="O62" s="484"/>
      <c r="P62" s="484"/>
      <c r="Q62" s="484"/>
      <c r="R62" s="484"/>
      <c r="S62" s="484"/>
      <c r="T62" s="484"/>
      <c r="U62" s="484"/>
      <c r="V62" s="484"/>
      <c r="W62" s="484"/>
      <c r="X62" s="484"/>
      <c r="Y62" s="484"/>
      <c r="Z62" s="484"/>
      <c r="AA62" s="484"/>
      <c r="AB62" s="484"/>
    </row>
    <row r="63" spans="1:28" ht="12.6" customHeight="1">
      <c r="B63" s="445" t="s">
        <v>2</v>
      </c>
      <c r="C63" s="437"/>
      <c r="D63" s="485">
        <f t="shared" ref="D63:AB63" si="11">D17-D60</f>
        <v>12751.331731755294</v>
      </c>
      <c r="E63" s="485">
        <f t="shared" si="11"/>
        <v>22021.917896461182</v>
      </c>
      <c r="F63" s="485">
        <f t="shared" si="11"/>
        <v>21955.543624049413</v>
      </c>
      <c r="G63" s="485">
        <f t="shared" si="11"/>
        <v>26861.090356092493</v>
      </c>
      <c r="H63" s="485">
        <f t="shared" si="11"/>
        <v>30724.830336386123</v>
      </c>
      <c r="I63" s="485">
        <f t="shared" si="11"/>
        <v>31021.284967944579</v>
      </c>
      <c r="J63" s="485">
        <f t="shared" si="11"/>
        <v>31307.66481560337</v>
      </c>
      <c r="K63" s="485">
        <f t="shared" si="11"/>
        <v>32253.885243085868</v>
      </c>
      <c r="L63" s="485">
        <f t="shared" si="11"/>
        <v>32537.582023669314</v>
      </c>
      <c r="M63" s="485">
        <f t="shared" si="11"/>
        <v>33520.699967393783</v>
      </c>
      <c r="N63" s="485">
        <f t="shared" si="11"/>
        <v>33800.324754889298</v>
      </c>
      <c r="O63" s="485">
        <f t="shared" si="11"/>
        <v>34821.32498055038</v>
      </c>
      <c r="P63" s="485">
        <f t="shared" si="11"/>
        <v>35095.329628743071</v>
      </c>
      <c r="Q63" s="485">
        <f t="shared" si="11"/>
        <v>35354.225648854379</v>
      </c>
      <c r="R63" s="485">
        <f t="shared" si="11"/>
        <v>35596.859919016068</v>
      </c>
      <c r="S63" s="485">
        <f t="shared" si="11"/>
        <v>35822.023727813066</v>
      </c>
      <c r="T63" s="485">
        <f t="shared" si="11"/>
        <v>36028.450476720333</v>
      </c>
      <c r="U63" s="485">
        <f t="shared" si="11"/>
        <v>36214.813294716572</v>
      </c>
      <c r="V63" s="485">
        <f t="shared" si="11"/>
        <v>36379.722561873103</v>
      </c>
      <c r="W63" s="485">
        <f t="shared" si="11"/>
        <v>36521.72333860334</v>
      </c>
      <c r="X63" s="485">
        <f t="shared" si="11"/>
        <v>13385.784883973189</v>
      </c>
      <c r="Y63" s="485">
        <f t="shared" si="11"/>
        <v>0</v>
      </c>
      <c r="Z63" s="485">
        <f t="shared" si="11"/>
        <v>0</v>
      </c>
      <c r="AA63" s="485">
        <f t="shared" si="11"/>
        <v>0</v>
      </c>
      <c r="AB63" s="486">
        <f t="shared" si="11"/>
        <v>0</v>
      </c>
    </row>
    <row r="64" spans="1:28" ht="12.6" customHeight="1">
      <c r="B64" s="449"/>
      <c r="C64" s="425"/>
      <c r="D64" s="453"/>
      <c r="E64" s="453"/>
      <c r="F64" s="453"/>
      <c r="G64" s="453"/>
      <c r="H64" s="453"/>
      <c r="I64" s="453"/>
      <c r="J64" s="453"/>
      <c r="K64" s="453"/>
      <c r="L64" s="453"/>
      <c r="M64" s="453"/>
      <c r="N64" s="453"/>
      <c r="O64" s="453"/>
      <c r="P64" s="453"/>
      <c r="Q64" s="453"/>
      <c r="R64" s="453"/>
      <c r="S64" s="453"/>
      <c r="T64" s="453"/>
      <c r="U64" s="453"/>
      <c r="V64" s="453"/>
      <c r="W64" s="453"/>
      <c r="X64" s="453"/>
      <c r="Y64" s="453"/>
      <c r="Z64" s="453"/>
      <c r="AA64" s="453"/>
      <c r="AB64" s="487"/>
    </row>
    <row r="65" spans="1:29" ht="12.6" customHeight="1">
      <c r="A65" s="1">
        <v>11</v>
      </c>
      <c r="B65" s="449" t="s">
        <v>81</v>
      </c>
      <c r="C65" s="425"/>
      <c r="D65" s="454">
        <f>Depreciation!D40</f>
        <v>3246.9725341666667</v>
      </c>
      <c r="E65" s="454">
        <f>IF(E3&gt;'Project Assumptions'!$I$15+1,0,Depreciation!E40)</f>
        <v>5566.2386299999998</v>
      </c>
      <c r="F65" s="454">
        <f>IF(F3&gt;'Project Assumptions'!$I$15+1,0,Depreciation!F40)</f>
        <v>5566.2386299999998</v>
      </c>
      <c r="G65" s="454">
        <f>IF(G3&gt;'Project Assumptions'!$I$15+1,0,Depreciation!G40)</f>
        <v>5566.2386299999998</v>
      </c>
      <c r="H65" s="454">
        <f>IF(H3&gt;'Project Assumptions'!$I$15+1,0,Depreciation!H40)</f>
        <v>5566.2386299999998</v>
      </c>
      <c r="I65" s="454">
        <f>IF(I3&gt;'Project Assumptions'!$I$15+1,0,Depreciation!I40)</f>
        <v>5328.1699133333332</v>
      </c>
      <c r="J65" s="454">
        <f>IF(J3&gt;'Project Assumptions'!$I$15+1,0,Depreciation!J40)</f>
        <v>5158.1208299999998</v>
      </c>
      <c r="K65" s="454">
        <f>IF(K3&gt;'Project Assumptions'!$I$15+1,0,Depreciation!K40)</f>
        <v>5158.1208299999998</v>
      </c>
      <c r="L65" s="454">
        <f>IF(L3&gt;'Project Assumptions'!$I$15+1,0,Depreciation!L40)</f>
        <v>5158.1208299999998</v>
      </c>
      <c r="M65" s="454">
        <f>IF(M3&gt;'Project Assumptions'!$I$15+1,0,Depreciation!M40)</f>
        <v>5158.1208299999998</v>
      </c>
      <c r="N65" s="454">
        <f>IF(N3&gt;'Project Assumptions'!$I$15+1,0,Depreciation!N40)</f>
        <v>5158.1208299999998</v>
      </c>
      <c r="O65" s="454">
        <f>IF(O3&gt;'Project Assumptions'!$I$15+1,0,Depreciation!O40)</f>
        <v>5158.1208299999998</v>
      </c>
      <c r="P65" s="454">
        <f>IF(P3&gt;'Project Assumptions'!$I$15+1,0,Depreciation!P40)</f>
        <v>5158.1208299999998</v>
      </c>
      <c r="Q65" s="454">
        <f>IF(Q3&gt;'Project Assumptions'!$I$15+1,0,Depreciation!Q40)</f>
        <v>5158.1208299999998</v>
      </c>
      <c r="R65" s="454">
        <f>IF(R3&gt;'Project Assumptions'!$I$15+1,0,Depreciation!R40)</f>
        <v>5158.1208299999998</v>
      </c>
      <c r="S65" s="454">
        <f>IF(S3&gt;'Project Assumptions'!$I$15+1,0,Depreciation!S40)</f>
        <v>5158.1208299999998</v>
      </c>
      <c r="T65" s="454">
        <f>IF(T3&gt;'Project Assumptions'!$I$15+1,0,Depreciation!T40)</f>
        <v>5158.1208299999998</v>
      </c>
      <c r="U65" s="454">
        <f>IF(U3&gt;'Project Assumptions'!$I$15+1,0,Depreciation!U40)</f>
        <v>5158.1208299999998</v>
      </c>
      <c r="V65" s="454">
        <f>IF(V3&gt;'Project Assumptions'!$I$15+1,0,Depreciation!V40)</f>
        <v>5158.1208299999998</v>
      </c>
      <c r="W65" s="454">
        <f>IF(W3&gt;'Project Assumptions'!$I$15+1,0,Depreciation!W40)</f>
        <v>5158.1208299999998</v>
      </c>
      <c r="X65" s="454">
        <f>IF(X3&gt;'Project Assumptions'!$I$15+1+1,0,Depreciation!X40)</f>
        <v>5158.1208299999998</v>
      </c>
      <c r="Y65" s="454">
        <f>IF(Y3&gt;'Project Assumptions'!$I$15+1,0,Depreciation!Y40)</f>
        <v>0</v>
      </c>
      <c r="Z65" s="454">
        <f>IF(Z3&gt;'Project Assumptions'!$I$15+1,0,Depreciation!Z40)</f>
        <v>0</v>
      </c>
      <c r="AA65" s="454">
        <f>IF(AA3&gt;'Project Assumptions'!$I$15+1,0,Depreciation!AA40)</f>
        <v>0</v>
      </c>
      <c r="AB65" s="455">
        <f>IF(AB3&gt;'Project Assumptions'!$I$15+1,0,Depreciation!AB40)</f>
        <v>0</v>
      </c>
    </row>
    <row r="66" spans="1:29" ht="12.6" customHeight="1">
      <c r="B66" s="449" t="s">
        <v>679</v>
      </c>
      <c r="C66" s="425"/>
      <c r="D66" s="1068">
        <f>'Project Assumptions'!C41+'Project Assumptions'!C42</f>
        <v>22.626999999999999</v>
      </c>
      <c r="E66" s="488">
        <v>0</v>
      </c>
      <c r="F66" s="488">
        <v>0</v>
      </c>
      <c r="G66" s="488">
        <v>0</v>
      </c>
      <c r="H66" s="488">
        <v>0</v>
      </c>
      <c r="I66" s="488">
        <v>0</v>
      </c>
      <c r="J66" s="488">
        <v>0</v>
      </c>
      <c r="K66" s="488">
        <v>0</v>
      </c>
      <c r="L66" s="488">
        <v>0</v>
      </c>
      <c r="M66" s="488">
        <v>0</v>
      </c>
      <c r="N66" s="488">
        <v>0</v>
      </c>
      <c r="O66" s="488">
        <v>0</v>
      </c>
      <c r="P66" s="488">
        <v>0</v>
      </c>
      <c r="Q66" s="488">
        <v>0</v>
      </c>
      <c r="R66" s="488">
        <v>0</v>
      </c>
      <c r="S66" s="488">
        <v>0</v>
      </c>
      <c r="T66" s="488">
        <v>0</v>
      </c>
      <c r="U66" s="488">
        <v>0</v>
      </c>
      <c r="V66" s="488">
        <v>0</v>
      </c>
      <c r="W66" s="488">
        <v>0</v>
      </c>
      <c r="X66" s="488">
        <v>0</v>
      </c>
      <c r="Y66" s="488">
        <v>0</v>
      </c>
      <c r="Z66" s="488">
        <v>0</v>
      </c>
      <c r="AA66" s="488">
        <v>0</v>
      </c>
      <c r="AB66" s="489">
        <v>0</v>
      </c>
    </row>
    <row r="67" spans="1:29" ht="12.6" customHeight="1">
      <c r="B67" s="468" t="s">
        <v>3</v>
      </c>
      <c r="C67" s="425"/>
      <c r="D67" s="454">
        <f>D63-D65-D66</f>
        <v>9481.7321975886261</v>
      </c>
      <c r="E67" s="454">
        <f t="shared" ref="E67:AB67" si="12">E63-E65-E66</f>
        <v>16455.679266461182</v>
      </c>
      <c r="F67" s="454">
        <f t="shared" si="12"/>
        <v>16389.304994049413</v>
      </c>
      <c r="G67" s="454">
        <f t="shared" si="12"/>
        <v>21294.851726092493</v>
      </c>
      <c r="H67" s="454">
        <f t="shared" si="12"/>
        <v>25158.591706386123</v>
      </c>
      <c r="I67" s="454">
        <f t="shared" si="12"/>
        <v>25693.115054611248</v>
      </c>
      <c r="J67" s="454">
        <f t="shared" si="12"/>
        <v>26149.54398560337</v>
      </c>
      <c r="K67" s="454">
        <f t="shared" si="12"/>
        <v>27095.764413085868</v>
      </c>
      <c r="L67" s="454">
        <f t="shared" si="12"/>
        <v>27379.461193669315</v>
      </c>
      <c r="M67" s="454">
        <f t="shared" si="12"/>
        <v>28362.579137393783</v>
      </c>
      <c r="N67" s="454">
        <f t="shared" si="12"/>
        <v>28642.203924889298</v>
      </c>
      <c r="O67" s="454">
        <f t="shared" si="12"/>
        <v>29663.20415055038</v>
      </c>
      <c r="P67" s="454">
        <f t="shared" si="12"/>
        <v>29937.208798743071</v>
      </c>
      <c r="Q67" s="454">
        <f t="shared" si="12"/>
        <v>30196.104818854379</v>
      </c>
      <c r="R67" s="454">
        <f t="shared" si="12"/>
        <v>30438.739089016068</v>
      </c>
      <c r="S67" s="454">
        <f t="shared" si="12"/>
        <v>30663.902897813066</v>
      </c>
      <c r="T67" s="454">
        <f t="shared" si="12"/>
        <v>30870.329646720333</v>
      </c>
      <c r="U67" s="454">
        <f t="shared" si="12"/>
        <v>31056.692464716572</v>
      </c>
      <c r="V67" s="454">
        <f t="shared" si="12"/>
        <v>31221.601731873103</v>
      </c>
      <c r="W67" s="454">
        <f t="shared" si="12"/>
        <v>31363.602508603341</v>
      </c>
      <c r="X67" s="454">
        <f t="shared" si="12"/>
        <v>8227.6640539731889</v>
      </c>
      <c r="Y67" s="454">
        <f t="shared" si="12"/>
        <v>0</v>
      </c>
      <c r="Z67" s="454">
        <f t="shared" si="12"/>
        <v>0</v>
      </c>
      <c r="AA67" s="454">
        <f t="shared" si="12"/>
        <v>0</v>
      </c>
      <c r="AB67" s="455">
        <f t="shared" si="12"/>
        <v>0</v>
      </c>
    </row>
    <row r="68" spans="1:29" ht="12.6" customHeight="1">
      <c r="B68" s="490"/>
      <c r="C68" s="425"/>
      <c r="D68" s="425"/>
      <c r="E68" s="425"/>
      <c r="F68" s="425"/>
      <c r="G68" s="425"/>
      <c r="H68" s="425"/>
      <c r="I68" s="425"/>
      <c r="J68" s="425"/>
      <c r="K68" s="425"/>
      <c r="L68" s="425"/>
      <c r="M68" s="425"/>
      <c r="N68" s="425"/>
      <c r="O68" s="425"/>
      <c r="P68" s="425"/>
      <c r="Q68" s="425"/>
      <c r="R68" s="425"/>
      <c r="S68" s="425"/>
      <c r="T68" s="425"/>
      <c r="U68" s="425"/>
      <c r="V68" s="425"/>
      <c r="W68" s="425"/>
      <c r="X68" s="425"/>
      <c r="Y68" s="425"/>
      <c r="Z68" s="425"/>
      <c r="AA68" s="425"/>
      <c r="AB68" s="491"/>
    </row>
    <row r="69" spans="1:29" ht="12.6" customHeight="1">
      <c r="B69" s="449" t="s">
        <v>82</v>
      </c>
      <c r="C69" s="425"/>
      <c r="D69" s="454">
        <f>'Debt Amortization'!E$52</f>
        <v>10153.804410566998</v>
      </c>
      <c r="E69" s="454">
        <f>'Debt Amortization'!F$52</f>
        <v>9802.0137062519971</v>
      </c>
      <c r="F69" s="454">
        <f>'Debt Amortization'!G$52</f>
        <v>9450.2230019369981</v>
      </c>
      <c r="G69" s="454">
        <f>'Debt Amortization'!H$52</f>
        <v>8949.9347716927477</v>
      </c>
      <c r="H69" s="454">
        <f>'Debt Amortization'!I$52</f>
        <v>8301.1490155192478</v>
      </c>
      <c r="I69" s="454">
        <f>'Debt Amortization'!J$52</f>
        <v>7888.6201421663091</v>
      </c>
      <c r="J69" s="454">
        <f>'Debt Amortization'!K$52</f>
        <v>7476.0912688133703</v>
      </c>
      <c r="K69" s="454">
        <f>'Debt Amortization'!L$52</f>
        <v>7005.7954847132096</v>
      </c>
      <c r="L69" s="454">
        <f>'Debt Amortization'!M$52</f>
        <v>6535.4997006130498</v>
      </c>
      <c r="M69" s="454">
        <f>'Debt Amortization'!N$52</f>
        <v>5768.2088646543889</v>
      </c>
      <c r="N69" s="454">
        <f>'Debt Amortization'!O$52</f>
        <v>4794.6535920192591</v>
      </c>
      <c r="O69" s="454">
        <f>'Debt Amortization'!P$52</f>
        <v>4563.5859490303792</v>
      </c>
      <c r="P69" s="454">
        <f>'Debt Amortization'!Q$52</f>
        <v>4274.75139529428</v>
      </c>
      <c r="Q69" s="454">
        <f>'Debt Amortization'!R$52</f>
        <v>3985.9168415581798</v>
      </c>
      <c r="R69" s="454">
        <f>'Debt Amortization'!S$52</f>
        <v>3697.0822878220802</v>
      </c>
      <c r="S69" s="454">
        <f>'Debt Amortization'!T$52</f>
        <v>3408.2477340859805</v>
      </c>
      <c r="T69" s="454">
        <f>'Debt Amortization'!U$52</f>
        <v>3119.4131803498808</v>
      </c>
      <c r="U69" s="454">
        <f>'Debt Amortization'!V$52</f>
        <v>2541.7440728776805</v>
      </c>
      <c r="V69" s="454">
        <f>'Debt Amortization'!W$52</f>
        <v>1848.541143911041</v>
      </c>
      <c r="W69" s="454">
        <f>'Debt Amortization'!X$52</f>
        <v>982.03748270274116</v>
      </c>
      <c r="X69" s="454">
        <f>'Debt Amortization'!Y$52</f>
        <v>1.3391399988904595E-12</v>
      </c>
      <c r="Y69" s="454">
        <f>'Debt Amortization'!Z$52</f>
        <v>1.3391399988904595E-12</v>
      </c>
      <c r="Z69" s="454">
        <f>'Debt Amortization'!AA$52</f>
        <v>1.3391399988904595E-12</v>
      </c>
      <c r="AA69" s="454">
        <f>'Debt Amortization'!AB$52</f>
        <v>1.3391399988904595E-12</v>
      </c>
      <c r="AB69" s="455">
        <f>'Debt Amortization'!AC$52</f>
        <v>1.3391399988904595E-12</v>
      </c>
      <c r="AC69" s="4"/>
    </row>
    <row r="70" spans="1:29" ht="12.6" customHeight="1">
      <c r="A70" s="1">
        <v>10</v>
      </c>
      <c r="B70" s="449" t="s">
        <v>83</v>
      </c>
      <c r="C70" s="425"/>
      <c r="D70" s="450">
        <f>0.05*0.25*D63</f>
        <v>159.39164664694118</v>
      </c>
      <c r="E70" s="450">
        <f t="shared" ref="E70:AB70" si="13">0.05*0.25*E63</f>
        <v>275.27397370576477</v>
      </c>
      <c r="F70" s="450">
        <f t="shared" si="13"/>
        <v>274.44429530061768</v>
      </c>
      <c r="G70" s="450">
        <f t="shared" si="13"/>
        <v>335.76362945115619</v>
      </c>
      <c r="H70" s="450">
        <f t="shared" si="13"/>
        <v>384.06037920482657</v>
      </c>
      <c r="I70" s="450">
        <f t="shared" si="13"/>
        <v>387.76606209930725</v>
      </c>
      <c r="J70" s="450">
        <f t="shared" si="13"/>
        <v>391.34581019504213</v>
      </c>
      <c r="K70" s="450">
        <f t="shared" si="13"/>
        <v>403.17356553857337</v>
      </c>
      <c r="L70" s="450">
        <f t="shared" si="13"/>
        <v>406.71977529586644</v>
      </c>
      <c r="M70" s="450">
        <f t="shared" si="13"/>
        <v>419.0087495924223</v>
      </c>
      <c r="N70" s="450">
        <f t="shared" si="13"/>
        <v>422.50405943611622</v>
      </c>
      <c r="O70" s="450">
        <f t="shared" si="13"/>
        <v>435.26656225687975</v>
      </c>
      <c r="P70" s="450">
        <f t="shared" si="13"/>
        <v>438.69162035928844</v>
      </c>
      <c r="Q70" s="450">
        <f t="shared" si="13"/>
        <v>441.92782061067976</v>
      </c>
      <c r="R70" s="450">
        <f t="shared" si="13"/>
        <v>444.96074898770087</v>
      </c>
      <c r="S70" s="450">
        <f t="shared" si="13"/>
        <v>447.77529659766333</v>
      </c>
      <c r="T70" s="450">
        <f t="shared" si="13"/>
        <v>450.3556309590042</v>
      </c>
      <c r="U70" s="450">
        <f t="shared" si="13"/>
        <v>452.68516618395716</v>
      </c>
      <c r="V70" s="450">
        <f t="shared" si="13"/>
        <v>454.74653202341381</v>
      </c>
      <c r="W70" s="450">
        <f t="shared" si="13"/>
        <v>456.52154173254178</v>
      </c>
      <c r="X70" s="450">
        <f t="shared" si="13"/>
        <v>167.32231104966488</v>
      </c>
      <c r="Y70" s="450">
        <f t="shared" si="13"/>
        <v>0</v>
      </c>
      <c r="Z70" s="450">
        <f t="shared" si="13"/>
        <v>0</v>
      </c>
      <c r="AA70" s="450">
        <f t="shared" si="13"/>
        <v>0</v>
      </c>
      <c r="AB70" s="451">
        <f t="shared" si="13"/>
        <v>0</v>
      </c>
    </row>
    <row r="71" spans="1:29" ht="12.6" customHeight="1">
      <c r="B71" s="449" t="s">
        <v>84</v>
      </c>
      <c r="C71" s="425"/>
      <c r="D71" s="474">
        <f>D69-D70</f>
        <v>9994.412763920056</v>
      </c>
      <c r="E71" s="474">
        <f t="shared" ref="E71:AB71" si="14">E69-E70</f>
        <v>9526.7397325462316</v>
      </c>
      <c r="F71" s="474">
        <f t="shared" si="14"/>
        <v>9175.7787066363799</v>
      </c>
      <c r="G71" s="474">
        <f t="shared" si="14"/>
        <v>8614.171142241592</v>
      </c>
      <c r="H71" s="474">
        <f t="shared" si="14"/>
        <v>7917.0886363144209</v>
      </c>
      <c r="I71" s="474">
        <f t="shared" si="14"/>
        <v>7500.8540800670016</v>
      </c>
      <c r="J71" s="474">
        <f t="shared" si="14"/>
        <v>7084.7454586183285</v>
      </c>
      <c r="K71" s="474">
        <f t="shared" si="14"/>
        <v>6602.6219191746359</v>
      </c>
      <c r="L71" s="474">
        <f t="shared" si="14"/>
        <v>6128.7799253171834</v>
      </c>
      <c r="M71" s="474">
        <f t="shared" si="14"/>
        <v>5349.2001150619662</v>
      </c>
      <c r="N71" s="474">
        <f t="shared" si="14"/>
        <v>4372.1495325831429</v>
      </c>
      <c r="O71" s="474">
        <f t="shared" si="14"/>
        <v>4128.319386773499</v>
      </c>
      <c r="P71" s="474">
        <f t="shared" si="14"/>
        <v>3836.0597749349918</v>
      </c>
      <c r="Q71" s="474">
        <f t="shared" si="14"/>
        <v>3543.9890209475002</v>
      </c>
      <c r="R71" s="474">
        <f t="shared" si="14"/>
        <v>3252.1215388343794</v>
      </c>
      <c r="S71" s="474">
        <f t="shared" si="14"/>
        <v>2960.4724374883172</v>
      </c>
      <c r="T71" s="474">
        <f t="shared" si="14"/>
        <v>2669.0575493908764</v>
      </c>
      <c r="U71" s="474">
        <f t="shared" si="14"/>
        <v>2089.0589066937232</v>
      </c>
      <c r="V71" s="474">
        <f t="shared" si="14"/>
        <v>1393.7946118876271</v>
      </c>
      <c r="W71" s="474">
        <f t="shared" si="14"/>
        <v>525.51594097019938</v>
      </c>
      <c r="X71" s="474">
        <f t="shared" si="14"/>
        <v>-167.32231104966354</v>
      </c>
      <c r="Y71" s="474">
        <f t="shared" si="14"/>
        <v>1.3391399988904595E-12</v>
      </c>
      <c r="Z71" s="474">
        <f t="shared" si="14"/>
        <v>1.3391399988904595E-12</v>
      </c>
      <c r="AA71" s="474">
        <f t="shared" si="14"/>
        <v>1.3391399988904595E-12</v>
      </c>
      <c r="AB71" s="475">
        <f t="shared" si="14"/>
        <v>1.3391399988904595E-12</v>
      </c>
    </row>
    <row r="72" spans="1:29" ht="12.6" customHeight="1">
      <c r="B72" s="468" t="s">
        <v>4</v>
      </c>
      <c r="C72" s="425"/>
      <c r="D72" s="454">
        <f>D67-D71</f>
        <v>-512.68056633142987</v>
      </c>
      <c r="E72" s="454">
        <f>IF(E3&gt;'Project Assumptions'!$I$15+1,0,E67-E71)</f>
        <v>6928.9395339149505</v>
      </c>
      <c r="F72" s="454">
        <f>IF(F3&gt;'Project Assumptions'!$I$15+1,0,F67-F71)</f>
        <v>7213.5262874130331</v>
      </c>
      <c r="G72" s="454">
        <f>IF(G3&gt;'Project Assumptions'!$I$15+1,0,G67-G71)</f>
        <v>12680.680583850901</v>
      </c>
      <c r="H72" s="454">
        <f>IF(H3&gt;'Project Assumptions'!$I$15+1,0,H67-H71)</f>
        <v>17241.503070071703</v>
      </c>
      <c r="I72" s="454">
        <f>IF(I3&gt;'Project Assumptions'!$I$15+1,0,I67-I71)</f>
        <v>18192.260974544246</v>
      </c>
      <c r="J72" s="454">
        <f>IF(J3&gt;'Project Assumptions'!$I$15+1,0,J67-J71)</f>
        <v>19064.79852698504</v>
      </c>
      <c r="K72" s="454">
        <f>IF(K3&gt;'Project Assumptions'!$I$15+1,0,K67-K71)</f>
        <v>20493.142493911233</v>
      </c>
      <c r="L72" s="454">
        <f>IF(L3&gt;'Project Assumptions'!$I$15+1,0,L67-L71)</f>
        <v>21250.681268352131</v>
      </c>
      <c r="M72" s="454">
        <f>IF(M3&gt;'Project Assumptions'!$I$15+1,0,M67-M71)</f>
        <v>23013.379022331817</v>
      </c>
      <c r="N72" s="454">
        <f>IF(N3&gt;'Project Assumptions'!$I$15+1,0,N67-N71)</f>
        <v>24270.054392306156</v>
      </c>
      <c r="O72" s="454">
        <f>IF(O3&gt;'Project Assumptions'!$I$15+1,0,O67-O71)</f>
        <v>25534.884763776881</v>
      </c>
      <c r="P72" s="454">
        <f>IF(P3&gt;'Project Assumptions'!$I$15+1,0,P67-P71)</f>
        <v>26101.149023808081</v>
      </c>
      <c r="Q72" s="454">
        <f>IF(Q3&gt;'Project Assumptions'!$I$15+1,0,Q67-Q71)</f>
        <v>26652.115797906878</v>
      </c>
      <c r="R72" s="454">
        <f>IF(R3&gt;'Project Assumptions'!$I$15+1,0,R67-R71)</f>
        <v>27186.617550181687</v>
      </c>
      <c r="S72" s="454">
        <f>IF(S3&gt;'Project Assumptions'!$I$15+1,0,S67-S71)</f>
        <v>27703.430460324751</v>
      </c>
      <c r="T72" s="454">
        <f>IF(T3&gt;'Project Assumptions'!$I$15+1,0,T67-T71)</f>
        <v>28201.272097329456</v>
      </c>
      <c r="U72" s="454">
        <f>IF(U3&gt;'Project Assumptions'!$I$15+1,0,U67-U71)</f>
        <v>28967.633558022848</v>
      </c>
      <c r="V72" s="454">
        <f>IF(V3&gt;'Project Assumptions'!$I$15+1,0,V67-V71)</f>
        <v>29827.807119985475</v>
      </c>
      <c r="W72" s="454">
        <f>IF(W3&gt;'Project Assumptions'!$I$15+1,0,W67-W71)</f>
        <v>30838.086567633141</v>
      </c>
      <c r="X72" s="454">
        <f>IF(X3&gt;'Project Assumptions'!$I$15+1+1,0,X67-X71)</f>
        <v>8394.9863650228526</v>
      </c>
      <c r="Y72" s="454">
        <f>IF(Y3&gt;'Project Assumptions'!$I$15+1,0,Y67-Y71)</f>
        <v>0</v>
      </c>
      <c r="Z72" s="454">
        <f>IF(Z3&gt;'Project Assumptions'!$I$15+1,0,Z67-Z71)</f>
        <v>0</v>
      </c>
      <c r="AA72" s="454">
        <f>IF(AA3&gt;'Project Assumptions'!$I$15+1,0,AA67-AA71)</f>
        <v>0</v>
      </c>
      <c r="AB72" s="455">
        <f>IF(AB3&gt;'Project Assumptions'!$I$15+1,0,AB67-AB71)</f>
        <v>0</v>
      </c>
    </row>
    <row r="73" spans="1:29" ht="12.6" customHeight="1">
      <c r="B73" s="449"/>
      <c r="C73" s="425"/>
      <c r="D73" s="453"/>
      <c r="E73" s="453"/>
      <c r="F73" s="453"/>
      <c r="G73" s="453"/>
      <c r="H73" s="453"/>
      <c r="I73" s="453"/>
      <c r="J73" s="453"/>
      <c r="K73" s="453"/>
      <c r="L73" s="453"/>
      <c r="M73" s="453"/>
      <c r="N73" s="453"/>
      <c r="O73" s="453"/>
      <c r="P73" s="453"/>
      <c r="Q73" s="453"/>
      <c r="R73" s="453"/>
      <c r="S73" s="453"/>
      <c r="T73" s="453"/>
      <c r="U73" s="453"/>
      <c r="V73" s="453"/>
      <c r="W73" s="453"/>
      <c r="X73" s="453"/>
      <c r="Y73" s="453"/>
      <c r="Z73" s="453"/>
      <c r="AA73" s="453"/>
      <c r="AB73" s="487"/>
    </row>
    <row r="74" spans="1:29" ht="12.6" customHeight="1">
      <c r="B74" s="449" t="s">
        <v>85</v>
      </c>
      <c r="C74" s="425"/>
      <c r="D74" s="474">
        <f>D72*'Project Assumptions'!$N$64</f>
        <v>-206.93069358552339</v>
      </c>
      <c r="E74" s="474">
        <f>IF(E3&gt;'Project Assumptions'!$I$15+1,0,E72*'Project Assumptions'!$N$64)</f>
        <v>2796.6932193764219</v>
      </c>
      <c r="F74" s="474">
        <f>IF(F3&gt;'Project Assumptions'!$I$15+1,0,F72*'Project Assumptions'!$N$64)</f>
        <v>2911.5595477570855</v>
      </c>
      <c r="G74" s="474">
        <f>IF(G3&gt;'Project Assumptions'!$I$15+1,0,G72*'Project Assumptions'!$N$64)</f>
        <v>5118.2397006568199</v>
      </c>
      <c r="H74" s="474">
        <f>IF(H3&gt;'Project Assumptions'!$I$15+1,0,H72*'Project Assumptions'!$N$64)</f>
        <v>6959.1016766576913</v>
      </c>
      <c r="I74" s="474">
        <f>IF(I3&gt;'Project Assumptions'!$I$15+1,0,I72*'Project Assumptions'!$N$64)</f>
        <v>7342.8513358504215</v>
      </c>
      <c r="J74" s="474">
        <f>IF(J3&gt;'Project Assumptions'!$I$15+1,0,J72*'Project Assumptions'!$N$64)</f>
        <v>7695.0293054543372</v>
      </c>
      <c r="K74" s="474">
        <f>IF(K3&gt;'Project Assumptions'!$I$15+1,0,K72*'Project Assumptions'!$N$64)</f>
        <v>8271.5446391049209</v>
      </c>
      <c r="L74" s="474">
        <f>IF(L3&gt;'Project Assumptions'!$I$15+1,0,L72*'Project Assumptions'!$N$64)</f>
        <v>8577.3062269386301</v>
      </c>
      <c r="M74" s="474">
        <f>IF(M3&gt;'Project Assumptions'!$I$15+1,0,M72*'Project Assumptions'!$N$64)</f>
        <v>9288.7751078886795</v>
      </c>
      <c r="N74" s="474">
        <f>IF(N3&gt;'Project Assumptions'!$I$15+1,0,N72*'Project Assumptions'!$N$64)</f>
        <v>9796.0007040945729</v>
      </c>
      <c r="O74" s="474">
        <f>IF(O3&gt;'Project Assumptions'!$I$15+1,0,O72*'Project Assumptions'!$N$64)</f>
        <v>10306.517862779445</v>
      </c>
      <c r="P74" s="474">
        <f>IF(P3&gt;'Project Assumptions'!$I$15+1,0,P72*'Project Assumptions'!$N$64)</f>
        <v>10535.076274734536</v>
      </c>
      <c r="Q74" s="474">
        <f>IF(Q3&gt;'Project Assumptions'!$I$15+1,0,Q72*'Project Assumptions'!$N$64)</f>
        <v>10757.460238930164</v>
      </c>
      <c r="R74" s="474">
        <f>IF(R3&gt;'Project Assumptions'!$I$15+1,0,R72*'Project Assumptions'!$N$64)</f>
        <v>10973.198508692083</v>
      </c>
      <c r="S74" s="474">
        <f>IF(S3&gt;'Project Assumptions'!$I$15+1,0,S72*'Project Assumptions'!$N$64)</f>
        <v>11181.797119548579</v>
      </c>
      <c r="T74" s="474">
        <f>IF(T3&gt;'Project Assumptions'!$I$15+1,0,T72*'Project Assumptions'!$N$64)</f>
        <v>11382.738450284602</v>
      </c>
      <c r="U74" s="474">
        <f>IF(U3&gt;'Project Assumptions'!$I$15+1,0,U72*'Project Assumptions'!$N$64)</f>
        <v>11692.061094856972</v>
      </c>
      <c r="V74" s="474">
        <f>IF(V3&gt;'Project Assumptions'!$I$15+1,0,V72*'Project Assumptions'!$N$64)</f>
        <v>12039.248648804138</v>
      </c>
      <c r="W74" s="474">
        <f>IF(W3&gt;'Project Assumptions'!$I$15+1,0,W72*'Project Assumptions'!$N$64)</f>
        <v>12447.022690860927</v>
      </c>
      <c r="X74" s="474">
        <f>IF(X3&gt;'Project Assumptions'!$I$15+1+1,0,X72*'Project Assumptions'!$N$64)</f>
        <v>3388.426371582349</v>
      </c>
      <c r="Y74" s="474">
        <f>IF(Y3&gt;'Project Assumptions'!$I$15+1,0,Y72*'Project Assumptions'!$N$64)</f>
        <v>0</v>
      </c>
      <c r="Z74" s="474">
        <f>IF(Z3&gt;'Project Assumptions'!$I$15+1,0,Z72*'Project Assumptions'!$N$64)</f>
        <v>0</v>
      </c>
      <c r="AA74" s="474">
        <f>IF(AA3&gt;'Project Assumptions'!$I$15+1,0,AA72*'Project Assumptions'!$N$64)</f>
        <v>0</v>
      </c>
      <c r="AB74" s="475">
        <f>IF(AB3&gt;'Project Assumptions'!$I$15+1,0,AB72*'Project Assumptions'!$N$64)</f>
        <v>0</v>
      </c>
    </row>
    <row r="75" spans="1:29" ht="12.6" customHeight="1">
      <c r="B75" s="460" t="s">
        <v>35</v>
      </c>
      <c r="C75" s="461"/>
      <c r="D75" s="492">
        <f>D72-D74</f>
        <v>-305.74987274590649</v>
      </c>
      <c r="E75" s="492">
        <f>IF(E3&gt;'Project Assumptions'!$I$15+1,0,E72-E74)</f>
        <v>4132.2463145385282</v>
      </c>
      <c r="F75" s="492">
        <f>IF(F3&gt;'Project Assumptions'!$I$15+1,0,F72-F74)</f>
        <v>4301.9667396559471</v>
      </c>
      <c r="G75" s="492">
        <f>IF(G3&gt;'Project Assumptions'!$I$15+1,0,G72-G74)</f>
        <v>7562.4408831940809</v>
      </c>
      <c r="H75" s="492">
        <f>IF(H3&gt;'Project Assumptions'!$I$15+1,0,H72-H74)</f>
        <v>10282.401393414013</v>
      </c>
      <c r="I75" s="492">
        <f>IF(I3&gt;'Project Assumptions'!$I$15+1,0,I72-I74)</f>
        <v>10849.409638693825</v>
      </c>
      <c r="J75" s="492">
        <f>IF(J3&gt;'Project Assumptions'!$I$15+1,0,J72-J74)</f>
        <v>11369.769221530703</v>
      </c>
      <c r="K75" s="492">
        <f>IF(K3&gt;'Project Assumptions'!$I$15+1,0,K72-K74)</f>
        <v>12221.597854806312</v>
      </c>
      <c r="L75" s="492">
        <f>IF(L3&gt;'Project Assumptions'!$I$15+1,0,L72-L74)</f>
        <v>12673.375041413501</v>
      </c>
      <c r="M75" s="492">
        <f>IF(M3&gt;'Project Assumptions'!$I$15+1,0,M72-M74)</f>
        <v>13724.603914443138</v>
      </c>
      <c r="N75" s="492">
        <f>IF(N3&gt;'Project Assumptions'!$I$15+1,0,N72-N74)</f>
        <v>14474.053688211583</v>
      </c>
      <c r="O75" s="492">
        <f>IF(O3&gt;'Project Assumptions'!$I$15+1,0,O72-O74)</f>
        <v>15228.366900997436</v>
      </c>
      <c r="P75" s="492">
        <f>IF(P3&gt;'Project Assumptions'!$I$15+1,0,P72-P74)</f>
        <v>15566.072749073544</v>
      </c>
      <c r="Q75" s="492">
        <f>IF(Q3&gt;'Project Assumptions'!$I$15+1,0,Q72-Q74)</f>
        <v>15894.655558976714</v>
      </c>
      <c r="R75" s="492">
        <f>IF(R3&gt;'Project Assumptions'!$I$15+1,0,R72-R74)</f>
        <v>16213.419041489604</v>
      </c>
      <c r="S75" s="492">
        <f>IF(S3&gt;'Project Assumptions'!$I$15+1,0,S72-S74)</f>
        <v>16521.63334077617</v>
      </c>
      <c r="T75" s="492">
        <f>IF(T3&gt;'Project Assumptions'!$I$15+1,0,T72-T74)</f>
        <v>16818.533647044853</v>
      </c>
      <c r="U75" s="492">
        <f>IF(U3&gt;'Project Assumptions'!$I$15+1,0,U72-U74)</f>
        <v>17275.572463165874</v>
      </c>
      <c r="V75" s="492">
        <f>IF(V3&gt;'Project Assumptions'!$I$15+1,0,V72-V74)</f>
        <v>17788.558471181335</v>
      </c>
      <c r="W75" s="492">
        <f>IF(W3&gt;'Project Assumptions'!$I$15+1,0,W72-W74)</f>
        <v>18391.063876772212</v>
      </c>
      <c r="X75" s="492">
        <f>IF(X3&gt;'Project Assumptions'!$I$15+1+1,0,X72-X74)</f>
        <v>5006.5599934405036</v>
      </c>
      <c r="Y75" s="492">
        <f>IF(Y3&gt;'Project Assumptions'!$I$15+1,0,Y72-Y74)</f>
        <v>0</v>
      </c>
      <c r="Z75" s="492">
        <f>IF(Z3&gt;'Project Assumptions'!$I$15+1,0,Z72-Z74)</f>
        <v>0</v>
      </c>
      <c r="AA75" s="492">
        <f>IF(AA3&gt;'Project Assumptions'!$I$15+1,0,AA72-AA74)</f>
        <v>0</v>
      </c>
      <c r="AB75" s="493">
        <f>IF(AB3&gt;'Project Assumptions'!$I$15+1,0,AB72-AB74)</f>
        <v>0</v>
      </c>
    </row>
    <row r="76" spans="1:29" ht="12.6" customHeight="1">
      <c r="B76" s="281"/>
      <c r="C76" s="258"/>
      <c r="D76" s="267"/>
      <c r="E76" s="267"/>
      <c r="F76" s="267"/>
      <c r="G76" s="267"/>
      <c r="H76" s="267"/>
      <c r="I76" s="267"/>
      <c r="J76" s="267"/>
      <c r="K76" s="267"/>
      <c r="L76" s="267"/>
      <c r="M76" s="267"/>
      <c r="N76" s="267"/>
      <c r="O76" s="267"/>
      <c r="P76" s="267"/>
      <c r="Q76" s="267"/>
      <c r="R76" s="267"/>
      <c r="S76" s="267"/>
      <c r="T76" s="267"/>
      <c r="U76" s="267"/>
      <c r="V76" s="267"/>
      <c r="W76" s="267"/>
      <c r="X76" s="267"/>
      <c r="Y76" s="267"/>
      <c r="Z76" s="267"/>
      <c r="AA76" s="267"/>
      <c r="AB76" s="267"/>
    </row>
    <row r="77" spans="1:29" ht="12.6" customHeight="1">
      <c r="B77" s="281" t="s">
        <v>305</v>
      </c>
      <c r="C77" s="257">
        <f>NPV('Project Assumptions'!$I$56,'Book Income Statement'!D77:F77)</f>
        <v>9096.3842399133828</v>
      </c>
      <c r="D77" s="266">
        <v>0</v>
      </c>
      <c r="E77" s="266">
        <v>0</v>
      </c>
      <c r="F77" s="266">
        <f>F72+F65</f>
        <v>12779.764917413033</v>
      </c>
      <c r="G77" s="266"/>
      <c r="H77" s="266"/>
      <c r="I77" s="266"/>
      <c r="J77" s="266"/>
      <c r="K77" s="266"/>
      <c r="L77" s="266"/>
      <c r="M77" s="266"/>
      <c r="N77" s="266"/>
      <c r="O77" s="266"/>
      <c r="P77" s="266"/>
      <c r="Q77" s="266"/>
      <c r="R77" s="266"/>
      <c r="S77" s="266"/>
      <c r="T77" s="266"/>
      <c r="U77" s="266"/>
      <c r="V77" s="266"/>
      <c r="W77" s="266"/>
      <c r="X77" s="266"/>
      <c r="Y77" s="266"/>
      <c r="Z77" s="266"/>
      <c r="AA77" s="266"/>
      <c r="AB77" s="266"/>
    </row>
    <row r="78" spans="1:29" ht="12.6" customHeight="1">
      <c r="B78" s="421" t="s">
        <v>298</v>
      </c>
      <c r="C78" s="257">
        <f>NPV('Project Assumptions'!$I$56,'Book Income Statement'!D78:F78)</f>
        <v>3062.0549520373615</v>
      </c>
      <c r="D78" s="257">
        <v>0</v>
      </c>
      <c r="E78" s="257">
        <v>0</v>
      </c>
      <c r="F78" s="266">
        <f>F75</f>
        <v>4301.9667396559471</v>
      </c>
    </row>
    <row r="79" spans="1:29" ht="13.15" customHeight="1">
      <c r="B79" s="421"/>
      <c r="D79" s="266"/>
      <c r="E79" s="266"/>
      <c r="F79" s="266"/>
      <c r="G79" s="266"/>
      <c r="H79" s="266"/>
      <c r="I79" s="266"/>
      <c r="J79" s="266"/>
      <c r="K79" s="266"/>
      <c r="L79" s="266"/>
      <c r="M79" s="266"/>
      <c r="N79" s="266"/>
      <c r="O79" s="266"/>
      <c r="P79" s="266"/>
      <c r="Q79" s="266"/>
      <c r="R79" s="266"/>
      <c r="S79" s="266"/>
      <c r="T79" s="266"/>
      <c r="U79" s="266"/>
      <c r="V79" s="266"/>
      <c r="W79" s="266"/>
      <c r="X79" s="266"/>
      <c r="Y79" s="266"/>
      <c r="Z79" s="266"/>
      <c r="AA79" s="266"/>
      <c r="AB79" s="266"/>
    </row>
    <row r="80" spans="1:29" customFormat="1" ht="12.6" customHeight="1">
      <c r="B80" s="247"/>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c r="AA80" s="247"/>
      <c r="AB80" s="247"/>
    </row>
    <row r="81" spans="2:28" ht="12.6" customHeight="1">
      <c r="B81" s="281"/>
      <c r="C81" s="258"/>
      <c r="D81" s="267"/>
      <c r="E81" s="267"/>
      <c r="F81" s="267"/>
      <c r="G81" s="267"/>
      <c r="H81" s="267"/>
      <c r="I81" s="267"/>
      <c r="J81" s="267"/>
      <c r="K81" s="267"/>
      <c r="L81" s="267"/>
      <c r="M81" s="267"/>
      <c r="N81" s="267"/>
      <c r="O81" s="267"/>
      <c r="P81" s="267"/>
      <c r="Q81" s="267"/>
      <c r="R81" s="267"/>
      <c r="S81" s="267"/>
      <c r="T81" s="267"/>
      <c r="U81" s="267"/>
      <c r="V81" s="267"/>
      <c r="W81" s="267"/>
      <c r="X81" s="267"/>
      <c r="Y81" s="267"/>
      <c r="Z81" s="267"/>
      <c r="AA81" s="267"/>
      <c r="AB81" s="267"/>
    </row>
    <row r="82" spans="2:28" ht="12.6" customHeight="1">
      <c r="B82" s="420"/>
      <c r="D82" s="430"/>
      <c r="E82" s="430"/>
      <c r="F82" s="430"/>
      <c r="G82" s="430"/>
      <c r="H82" s="430"/>
      <c r="I82" s="430"/>
      <c r="J82" s="430"/>
      <c r="K82" s="430"/>
      <c r="L82" s="430"/>
      <c r="M82" s="430"/>
      <c r="N82" s="430"/>
      <c r="O82" s="430"/>
      <c r="P82" s="430"/>
      <c r="Q82" s="430"/>
      <c r="R82" s="430"/>
      <c r="S82" s="430"/>
      <c r="T82" s="430"/>
      <c r="U82" s="430"/>
      <c r="V82" s="430"/>
      <c r="W82" s="430"/>
      <c r="X82" s="430"/>
      <c r="Y82" s="430"/>
      <c r="Z82" s="430"/>
      <c r="AA82" s="430"/>
      <c r="AB82" s="430"/>
    </row>
    <row r="83" spans="2:28" ht="12.6" customHeight="1">
      <c r="B83" s="421"/>
      <c r="D83" s="266"/>
      <c r="E83" s="266"/>
      <c r="F83" s="266"/>
      <c r="G83" s="266"/>
      <c r="H83" s="266"/>
      <c r="I83" s="266"/>
      <c r="J83" s="266"/>
      <c r="K83" s="266"/>
      <c r="L83" s="266"/>
      <c r="M83" s="266"/>
      <c r="N83" s="266"/>
      <c r="O83" s="266"/>
      <c r="P83" s="266"/>
      <c r="Q83" s="266"/>
      <c r="R83" s="266"/>
      <c r="S83" s="266"/>
      <c r="T83" s="266"/>
      <c r="U83" s="266"/>
      <c r="V83" s="266"/>
      <c r="W83" s="266"/>
      <c r="X83" s="266"/>
      <c r="Y83" s="266"/>
      <c r="Z83" s="266"/>
      <c r="AA83" s="266"/>
      <c r="AB83" s="266"/>
    </row>
    <row r="84" spans="2:28" ht="12.6" customHeight="1">
      <c r="B84" s="421"/>
      <c r="D84" s="431"/>
      <c r="E84" s="431"/>
      <c r="F84" s="431"/>
      <c r="G84" s="431"/>
      <c r="H84" s="431"/>
      <c r="I84" s="431"/>
      <c r="J84" s="431"/>
      <c r="K84" s="431"/>
      <c r="L84" s="431"/>
      <c r="M84" s="431"/>
      <c r="N84" s="431"/>
      <c r="O84" s="431"/>
      <c r="P84" s="431"/>
      <c r="Q84" s="431"/>
      <c r="R84" s="431"/>
      <c r="S84" s="431"/>
      <c r="T84" s="431"/>
      <c r="U84" s="431"/>
      <c r="V84" s="431"/>
      <c r="W84" s="431"/>
      <c r="X84" s="431"/>
      <c r="Y84" s="431"/>
      <c r="Z84" s="431"/>
      <c r="AA84" s="431"/>
      <c r="AB84" s="431"/>
    </row>
    <row r="85" spans="2:28" ht="12.6" customHeight="1">
      <c r="B85" s="421"/>
      <c r="D85" s="266"/>
      <c r="E85" s="266"/>
      <c r="F85" s="266"/>
      <c r="G85" s="266"/>
      <c r="H85" s="266"/>
      <c r="I85" s="266"/>
      <c r="J85" s="266"/>
      <c r="K85" s="266"/>
      <c r="L85" s="266"/>
      <c r="M85" s="266"/>
      <c r="N85" s="266"/>
      <c r="O85" s="266"/>
      <c r="P85" s="266"/>
      <c r="Q85" s="266"/>
      <c r="R85" s="266"/>
      <c r="S85" s="266"/>
      <c r="T85" s="266"/>
      <c r="U85" s="266"/>
      <c r="V85" s="266"/>
      <c r="W85" s="266"/>
      <c r="X85" s="266"/>
      <c r="Y85" s="266"/>
      <c r="Z85" s="266"/>
      <c r="AA85" s="266"/>
      <c r="AB85" s="266"/>
    </row>
    <row r="86" spans="2:28" customFormat="1" ht="12.6" customHeight="1">
      <c r="B86" s="247"/>
      <c r="C86" s="247"/>
      <c r="D86" s="247"/>
      <c r="E86" s="247"/>
      <c r="F86" s="247"/>
      <c r="G86" s="247"/>
      <c r="H86" s="247"/>
      <c r="I86" s="247"/>
      <c r="J86" s="247"/>
      <c r="K86" s="247"/>
      <c r="L86" s="247"/>
      <c r="M86" s="247"/>
      <c r="N86" s="247"/>
      <c r="O86" s="247"/>
      <c r="P86" s="247"/>
      <c r="Q86" s="247"/>
      <c r="R86" s="247"/>
      <c r="S86" s="247"/>
      <c r="T86" s="247"/>
      <c r="U86" s="247"/>
      <c r="V86" s="247"/>
      <c r="W86" s="247"/>
      <c r="X86" s="247"/>
      <c r="Y86" s="247"/>
      <c r="Z86" s="247"/>
      <c r="AA86" s="247"/>
      <c r="AB86" s="247"/>
    </row>
    <row r="87" spans="2:28" ht="12.6" customHeight="1">
      <c r="B87" s="421"/>
      <c r="D87" s="432"/>
      <c r="E87" s="431"/>
      <c r="F87" s="431"/>
      <c r="G87" s="431"/>
      <c r="H87" s="431"/>
      <c r="I87" s="431"/>
      <c r="J87" s="431"/>
      <c r="K87" s="431"/>
      <c r="L87" s="431"/>
      <c r="M87" s="431"/>
      <c r="N87" s="431"/>
      <c r="O87" s="431"/>
      <c r="P87" s="431"/>
      <c r="Q87" s="431"/>
      <c r="R87" s="431"/>
      <c r="S87" s="431"/>
      <c r="T87" s="431"/>
      <c r="U87" s="431"/>
      <c r="V87" s="431"/>
      <c r="W87" s="431"/>
      <c r="X87" s="431"/>
      <c r="Y87" s="431"/>
      <c r="Z87" s="431"/>
      <c r="AA87" s="431"/>
      <c r="AB87" s="431"/>
    </row>
    <row r="88" spans="2:28" customFormat="1" ht="12.6" customHeight="1">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c r="AA88" s="247"/>
      <c r="AB88" s="247"/>
    </row>
    <row r="89" spans="2:28" customFormat="1" ht="12.6" customHeight="1">
      <c r="B89" s="247"/>
      <c r="C89" s="247"/>
      <c r="D89" s="247"/>
      <c r="E89" s="247"/>
      <c r="F89" s="247"/>
      <c r="G89" s="247"/>
      <c r="H89" s="247"/>
      <c r="I89" s="247"/>
      <c r="J89" s="247"/>
      <c r="K89" s="247"/>
      <c r="L89" s="247"/>
      <c r="M89" s="247"/>
      <c r="N89" s="247"/>
      <c r="O89" s="247"/>
      <c r="P89" s="247"/>
      <c r="Q89" s="247"/>
      <c r="R89" s="247"/>
      <c r="S89" s="247"/>
      <c r="T89" s="247"/>
      <c r="U89" s="247"/>
      <c r="V89" s="247"/>
      <c r="W89" s="247"/>
      <c r="X89" s="247"/>
      <c r="Y89" s="247"/>
      <c r="Z89" s="247"/>
      <c r="AA89" s="247"/>
      <c r="AB89" s="247"/>
    </row>
    <row r="90" spans="2:28" customFormat="1" ht="12.6" customHeight="1">
      <c r="B90" s="247"/>
      <c r="C90" s="247"/>
      <c r="D90" s="247"/>
      <c r="E90" s="247"/>
      <c r="F90" s="247"/>
      <c r="G90" s="247"/>
      <c r="H90" s="247"/>
      <c r="I90" s="247"/>
      <c r="J90" s="247"/>
      <c r="K90" s="247"/>
      <c r="L90" s="247"/>
      <c r="M90" s="247"/>
      <c r="N90" s="247"/>
      <c r="O90" s="247"/>
      <c r="P90" s="247"/>
      <c r="Q90" s="247"/>
      <c r="R90" s="247"/>
      <c r="S90" s="247"/>
      <c r="T90" s="247"/>
      <c r="U90" s="247"/>
      <c r="V90" s="247"/>
      <c r="W90" s="247"/>
      <c r="X90" s="247"/>
      <c r="Y90" s="247"/>
      <c r="Z90" s="247"/>
      <c r="AA90" s="247"/>
      <c r="AB90" s="247"/>
    </row>
    <row r="91" spans="2:28" customFormat="1" ht="12.6" customHeight="1">
      <c r="B91" s="247"/>
      <c r="C91" s="247"/>
      <c r="D91" s="247"/>
      <c r="E91" s="247"/>
      <c r="F91" s="247"/>
      <c r="G91" s="247"/>
      <c r="H91" s="247"/>
      <c r="I91" s="247"/>
      <c r="J91" s="247"/>
      <c r="K91" s="247"/>
      <c r="L91" s="247"/>
      <c r="M91" s="247"/>
      <c r="N91" s="247"/>
      <c r="O91" s="247"/>
      <c r="P91" s="247"/>
      <c r="Q91" s="247"/>
      <c r="R91" s="247"/>
      <c r="S91" s="247"/>
      <c r="T91" s="247"/>
      <c r="U91" s="247"/>
      <c r="V91" s="247"/>
      <c r="W91" s="247"/>
      <c r="X91" s="247"/>
      <c r="Y91" s="247"/>
      <c r="Z91" s="247"/>
      <c r="AA91" s="247"/>
      <c r="AB91" s="247"/>
    </row>
    <row r="92" spans="2:28" ht="12.6" customHeight="1">
      <c r="B92" s="281"/>
      <c r="C92" s="258"/>
      <c r="D92" s="433"/>
      <c r="E92" s="433"/>
      <c r="F92" s="433"/>
      <c r="G92" s="433"/>
      <c r="H92" s="433"/>
      <c r="I92" s="433"/>
      <c r="J92" s="433"/>
      <c r="K92" s="433"/>
      <c r="L92" s="433"/>
      <c r="M92" s="433"/>
      <c r="N92" s="433"/>
      <c r="O92" s="433"/>
      <c r="P92" s="433"/>
      <c r="Q92" s="433"/>
      <c r="R92" s="433"/>
      <c r="S92" s="433"/>
      <c r="T92" s="433"/>
      <c r="U92" s="433"/>
      <c r="V92" s="433"/>
      <c r="W92" s="433"/>
      <c r="X92" s="433"/>
      <c r="Y92" s="433"/>
      <c r="Z92" s="433"/>
      <c r="AA92" s="433"/>
      <c r="AB92" s="433"/>
    </row>
    <row r="93" spans="2:28" customFormat="1" ht="12.6" customHeight="1">
      <c r="B93" s="247"/>
      <c r="C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c r="AA93" s="247"/>
      <c r="AB93" s="247"/>
    </row>
    <row r="94" spans="2:28" customFormat="1" ht="12.6" customHeight="1">
      <c r="B94" s="247"/>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c r="AB94" s="247"/>
    </row>
    <row r="95" spans="2:28" customFormat="1" ht="12.6" customHeight="1">
      <c r="B95" s="247"/>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c r="AB95" s="247"/>
    </row>
    <row r="96" spans="2:28" customFormat="1" ht="12.6" customHeight="1">
      <c r="B96" s="247"/>
      <c r="C96" s="247"/>
      <c r="D96" s="247"/>
      <c r="E96" s="247"/>
      <c r="F96" s="247"/>
      <c r="G96" s="247"/>
      <c r="H96" s="247"/>
      <c r="I96" s="247"/>
      <c r="J96" s="247"/>
      <c r="K96" s="247"/>
      <c r="L96" s="247"/>
      <c r="M96" s="247"/>
      <c r="N96" s="247"/>
      <c r="O96" s="247"/>
      <c r="P96" s="247"/>
      <c r="Q96" s="247"/>
      <c r="R96" s="247"/>
      <c r="S96" s="247"/>
      <c r="T96" s="247"/>
      <c r="U96" s="247"/>
      <c r="V96" s="247"/>
      <c r="W96" s="247"/>
      <c r="X96" s="247"/>
      <c r="Y96" s="247"/>
      <c r="Z96" s="247"/>
      <c r="AA96" s="247"/>
      <c r="AB96" s="247"/>
    </row>
    <row r="97" spans="2:28" customFormat="1" ht="12.6" customHeight="1">
      <c r="B97" s="247"/>
      <c r="C97" s="247"/>
      <c r="D97" s="247"/>
      <c r="E97" s="247"/>
      <c r="F97" s="247"/>
      <c r="G97" s="247"/>
      <c r="H97" s="247"/>
      <c r="I97" s="247"/>
      <c r="J97" s="247"/>
      <c r="K97" s="247"/>
      <c r="L97" s="247"/>
      <c r="M97" s="247"/>
      <c r="N97" s="247"/>
      <c r="O97" s="247"/>
      <c r="P97" s="247"/>
      <c r="Q97" s="247"/>
      <c r="R97" s="247"/>
      <c r="S97" s="247"/>
      <c r="T97" s="247"/>
      <c r="U97" s="247"/>
      <c r="V97" s="247"/>
      <c r="W97" s="247"/>
      <c r="X97" s="247"/>
      <c r="Y97" s="247"/>
      <c r="Z97" s="247"/>
      <c r="AA97" s="247"/>
      <c r="AB97" s="247"/>
    </row>
    <row r="98" spans="2:28" customFormat="1" ht="12.6" customHeight="1">
      <c r="B98" s="247"/>
      <c r="C98" s="247"/>
      <c r="D98" s="247"/>
      <c r="E98" s="247"/>
      <c r="F98" s="247"/>
      <c r="G98" s="247"/>
      <c r="H98" s="247"/>
      <c r="I98" s="247"/>
      <c r="J98" s="247"/>
      <c r="K98" s="247"/>
      <c r="L98" s="247"/>
      <c r="M98" s="247"/>
      <c r="N98" s="247"/>
      <c r="O98" s="247"/>
      <c r="P98" s="247"/>
      <c r="Q98" s="247"/>
      <c r="R98" s="247"/>
      <c r="S98" s="247"/>
      <c r="T98" s="247"/>
      <c r="U98" s="247"/>
      <c r="V98" s="247"/>
      <c r="W98" s="247"/>
      <c r="X98" s="247"/>
      <c r="Y98" s="247"/>
      <c r="Z98" s="247"/>
      <c r="AA98" s="247"/>
      <c r="AB98" s="247"/>
    </row>
    <row r="99" spans="2:28" customFormat="1" ht="12.6" customHeight="1">
      <c r="B99" s="247"/>
      <c r="C99" s="247"/>
      <c r="D99" s="247"/>
      <c r="E99" s="247"/>
      <c r="F99" s="247"/>
      <c r="G99" s="247"/>
      <c r="H99" s="247"/>
      <c r="I99" s="247"/>
      <c r="J99" s="247"/>
      <c r="K99" s="247"/>
      <c r="L99" s="247"/>
      <c r="M99" s="247"/>
      <c r="N99" s="247"/>
      <c r="O99" s="247"/>
      <c r="P99" s="247"/>
      <c r="Q99" s="247"/>
      <c r="R99" s="247"/>
      <c r="S99" s="247"/>
      <c r="T99" s="247"/>
      <c r="U99" s="247"/>
      <c r="V99" s="247"/>
      <c r="W99" s="247"/>
      <c r="X99" s="247"/>
      <c r="Y99" s="247"/>
      <c r="Z99" s="247"/>
      <c r="AA99" s="247"/>
      <c r="AB99" s="247"/>
    </row>
    <row r="100" spans="2:28" customFormat="1" ht="12.6" customHeight="1">
      <c r="B100" s="247"/>
      <c r="C100" s="247"/>
      <c r="D100" s="247"/>
      <c r="E100" s="247"/>
      <c r="F100" s="247"/>
      <c r="G100" s="247"/>
      <c r="H100" s="247"/>
      <c r="I100" s="247"/>
      <c r="J100" s="247"/>
      <c r="K100" s="247"/>
      <c r="L100" s="247"/>
      <c r="M100" s="247"/>
      <c r="N100" s="247"/>
      <c r="O100" s="247"/>
      <c r="P100" s="247"/>
      <c r="Q100" s="247"/>
      <c r="R100" s="247"/>
      <c r="S100" s="247"/>
      <c r="T100" s="247"/>
      <c r="U100" s="247"/>
      <c r="V100" s="247"/>
      <c r="W100" s="247"/>
      <c r="X100" s="247"/>
      <c r="Y100" s="247"/>
      <c r="Z100" s="247"/>
      <c r="AA100" s="247"/>
      <c r="AB100" s="247"/>
    </row>
    <row r="101" spans="2:28" customFormat="1" ht="12.6" customHeight="1">
      <c r="B101" s="247"/>
      <c r="C101" s="247"/>
      <c r="D101" s="247"/>
      <c r="E101" s="247"/>
      <c r="F101" s="247"/>
      <c r="G101" s="247"/>
      <c r="H101" s="247"/>
      <c r="I101" s="247"/>
      <c r="J101" s="247"/>
      <c r="K101" s="247"/>
      <c r="L101" s="247"/>
      <c r="M101" s="247"/>
      <c r="N101" s="247"/>
      <c r="O101" s="247"/>
      <c r="P101" s="247"/>
      <c r="Q101" s="247"/>
      <c r="R101" s="247"/>
      <c r="S101" s="247"/>
      <c r="T101" s="247"/>
      <c r="U101" s="247"/>
      <c r="V101" s="247"/>
      <c r="W101" s="247"/>
      <c r="X101" s="247"/>
      <c r="Y101" s="247"/>
      <c r="Z101" s="247"/>
      <c r="AA101" s="247"/>
      <c r="AB101" s="247"/>
    </row>
    <row r="102" spans="2:28" customFormat="1" ht="12.6" customHeight="1">
      <c r="B102" s="247"/>
      <c r="C102" s="247"/>
      <c r="D102" s="247"/>
      <c r="E102" s="247"/>
      <c r="F102" s="247"/>
      <c r="G102" s="247"/>
      <c r="H102" s="247"/>
      <c r="I102" s="247"/>
      <c r="J102" s="247"/>
      <c r="K102" s="247"/>
      <c r="L102" s="247"/>
      <c r="M102" s="247"/>
      <c r="N102" s="247"/>
      <c r="O102" s="247"/>
      <c r="P102" s="247"/>
      <c r="Q102" s="247"/>
      <c r="R102" s="247"/>
      <c r="S102" s="247"/>
      <c r="T102" s="247"/>
      <c r="U102" s="247"/>
      <c r="V102" s="247"/>
      <c r="W102" s="247"/>
      <c r="X102" s="247"/>
      <c r="Y102" s="247"/>
      <c r="Z102" s="247"/>
      <c r="AA102" s="247"/>
      <c r="AB102" s="247"/>
    </row>
    <row r="103" spans="2:28" ht="12.6" customHeight="1">
      <c r="B103" s="420"/>
      <c r="D103" s="434"/>
      <c r="E103" s="434"/>
      <c r="F103" s="434"/>
      <c r="G103" s="434"/>
      <c r="H103" s="434"/>
      <c r="I103" s="434"/>
      <c r="J103" s="434"/>
      <c r="K103" s="434"/>
      <c r="L103" s="434"/>
      <c r="M103" s="434"/>
      <c r="N103" s="434"/>
      <c r="O103" s="434"/>
      <c r="P103" s="434"/>
      <c r="Q103" s="434"/>
      <c r="R103" s="434"/>
      <c r="S103" s="434"/>
      <c r="T103" s="434"/>
      <c r="U103" s="434"/>
      <c r="V103" s="434"/>
      <c r="W103" s="434"/>
      <c r="X103" s="434"/>
      <c r="Y103" s="434"/>
      <c r="Z103" s="434"/>
      <c r="AA103" s="434"/>
      <c r="AB103" s="434"/>
    </row>
    <row r="104" spans="2:28" ht="12.6" customHeight="1">
      <c r="B104" s="420"/>
      <c r="D104" s="434"/>
      <c r="E104" s="434"/>
      <c r="F104" s="434"/>
      <c r="G104" s="434"/>
      <c r="H104" s="434"/>
      <c r="I104" s="434"/>
      <c r="J104" s="434"/>
      <c r="K104" s="434"/>
      <c r="L104" s="434"/>
      <c r="M104" s="266"/>
      <c r="N104" s="266"/>
      <c r="O104" s="266"/>
      <c r="P104" s="266"/>
      <c r="Q104" s="266"/>
      <c r="R104" s="266"/>
      <c r="S104" s="266"/>
      <c r="T104" s="266"/>
      <c r="U104" s="266"/>
      <c r="V104" s="266"/>
      <c r="W104" s="266"/>
      <c r="X104" s="266"/>
      <c r="Y104" s="266"/>
      <c r="Z104" s="266"/>
      <c r="AA104" s="266"/>
      <c r="AB104" s="266"/>
    </row>
    <row r="105" spans="2:28" ht="12.6" customHeight="1">
      <c r="B105" s="420"/>
      <c r="D105" s="434"/>
      <c r="E105" s="434"/>
      <c r="F105" s="434"/>
      <c r="G105" s="434"/>
      <c r="H105" s="434"/>
      <c r="I105" s="434"/>
      <c r="J105" s="434"/>
      <c r="K105" s="434"/>
      <c r="L105" s="434"/>
      <c r="M105" s="266"/>
      <c r="N105" s="266"/>
      <c r="O105" s="266"/>
      <c r="P105" s="266"/>
      <c r="Q105" s="266"/>
      <c r="R105" s="266"/>
      <c r="S105" s="266"/>
      <c r="T105" s="266"/>
      <c r="U105" s="266"/>
      <c r="V105" s="266"/>
      <c r="W105" s="266"/>
      <c r="X105" s="266"/>
      <c r="Y105" s="266"/>
      <c r="Z105" s="266"/>
      <c r="AA105" s="266"/>
      <c r="AB105" s="266"/>
    </row>
    <row r="106" spans="2:28" ht="12.6" customHeight="1">
      <c r="B106" s="420"/>
      <c r="D106" s="266"/>
      <c r="E106" s="266"/>
      <c r="F106" s="266"/>
      <c r="G106" s="266"/>
      <c r="H106" s="266"/>
      <c r="I106" s="266"/>
      <c r="J106" s="266"/>
      <c r="K106" s="266"/>
      <c r="L106" s="266"/>
      <c r="M106" s="266"/>
      <c r="N106" s="266"/>
      <c r="O106" s="266"/>
      <c r="P106" s="266"/>
      <c r="Q106" s="266"/>
      <c r="R106" s="266"/>
      <c r="S106" s="266"/>
      <c r="T106" s="266"/>
      <c r="U106" s="266"/>
      <c r="V106" s="266"/>
      <c r="W106" s="266"/>
      <c r="X106" s="266"/>
      <c r="Y106" s="266"/>
      <c r="Z106" s="266"/>
      <c r="AA106" s="266"/>
      <c r="AB106" s="266"/>
    </row>
    <row r="107" spans="2:28" ht="12.6" customHeight="1">
      <c r="B107" s="420"/>
      <c r="D107" s="266"/>
      <c r="E107" s="266"/>
      <c r="F107" s="266"/>
      <c r="G107" s="266"/>
      <c r="H107" s="266"/>
      <c r="I107" s="266"/>
      <c r="J107" s="266"/>
      <c r="K107" s="266"/>
      <c r="L107" s="266"/>
      <c r="M107" s="266"/>
      <c r="N107" s="266"/>
      <c r="O107" s="266"/>
      <c r="P107" s="266"/>
      <c r="Q107" s="266"/>
      <c r="R107" s="266"/>
      <c r="S107" s="266"/>
      <c r="T107" s="266"/>
      <c r="U107" s="266"/>
      <c r="V107" s="266"/>
      <c r="W107" s="266"/>
      <c r="X107" s="266"/>
      <c r="Y107" s="266"/>
      <c r="Z107" s="266"/>
      <c r="AA107" s="266"/>
      <c r="AB107" s="266"/>
    </row>
    <row r="108" spans="2:28" customFormat="1" ht="12.6" customHeight="1">
      <c r="B108" s="247"/>
      <c r="C108" s="247"/>
      <c r="D108" s="247"/>
      <c r="E108" s="247"/>
      <c r="F108" s="247"/>
      <c r="G108" s="247"/>
      <c r="H108" s="247"/>
      <c r="I108" s="247"/>
      <c r="J108" s="247"/>
      <c r="K108" s="247"/>
      <c r="L108" s="247"/>
      <c r="M108" s="247"/>
      <c r="N108" s="247"/>
      <c r="O108" s="247"/>
      <c r="P108" s="247"/>
      <c r="Q108" s="247"/>
      <c r="R108" s="247"/>
      <c r="S108" s="247"/>
      <c r="T108" s="247"/>
      <c r="U108" s="247"/>
      <c r="V108" s="247"/>
      <c r="W108" s="247"/>
      <c r="X108" s="247"/>
      <c r="Y108" s="247"/>
      <c r="Z108" s="247"/>
      <c r="AA108" s="247"/>
      <c r="AB108" s="247"/>
    </row>
    <row r="109" spans="2:28" customFormat="1" ht="12.6" customHeight="1">
      <c r="B109" s="247"/>
      <c r="C109" s="247"/>
      <c r="D109" s="247"/>
      <c r="E109" s="247"/>
      <c r="F109" s="247"/>
      <c r="G109" s="247"/>
      <c r="H109" s="247"/>
      <c r="I109" s="247"/>
      <c r="J109" s="247"/>
      <c r="K109" s="247"/>
      <c r="L109" s="247"/>
      <c r="M109" s="247"/>
      <c r="N109" s="247"/>
      <c r="O109" s="247"/>
      <c r="P109" s="247"/>
      <c r="Q109" s="247"/>
      <c r="R109" s="247"/>
      <c r="S109" s="247"/>
      <c r="T109" s="247"/>
      <c r="U109" s="247"/>
      <c r="V109" s="247"/>
      <c r="W109" s="247"/>
      <c r="X109" s="247"/>
      <c r="Y109" s="247"/>
      <c r="Z109" s="247"/>
      <c r="AA109" s="247"/>
      <c r="AB109" s="247"/>
    </row>
    <row r="110" spans="2:28" customFormat="1" ht="12.6" customHeight="1">
      <c r="B110" s="247"/>
      <c r="C110" s="247"/>
      <c r="D110" s="247"/>
      <c r="E110" s="247"/>
      <c r="F110" s="247"/>
      <c r="G110" s="247"/>
      <c r="H110" s="247"/>
      <c r="I110" s="247"/>
      <c r="J110" s="247"/>
      <c r="K110" s="247"/>
      <c r="L110" s="247"/>
      <c r="M110" s="247"/>
      <c r="N110" s="247"/>
      <c r="O110" s="247"/>
      <c r="P110" s="247"/>
      <c r="Q110" s="247"/>
      <c r="R110" s="247"/>
      <c r="S110" s="247"/>
      <c r="T110" s="247"/>
      <c r="U110" s="247"/>
      <c r="V110" s="247"/>
      <c r="W110" s="247"/>
      <c r="X110" s="247"/>
      <c r="Y110" s="247"/>
      <c r="Z110" s="247"/>
      <c r="AA110" s="247"/>
      <c r="AB110" s="247"/>
    </row>
    <row r="111" spans="2:28" ht="12.6" customHeight="1">
      <c r="B111" s="420"/>
      <c r="D111" s="435"/>
      <c r="E111" s="435"/>
      <c r="F111" s="435"/>
      <c r="G111" s="435"/>
      <c r="H111" s="435"/>
      <c r="I111" s="435"/>
      <c r="J111" s="435"/>
      <c r="K111" s="435"/>
      <c r="L111" s="435"/>
      <c r="M111" s="435"/>
      <c r="N111" s="435"/>
      <c r="O111" s="435"/>
      <c r="P111" s="435"/>
      <c r="Q111" s="435"/>
      <c r="R111" s="435"/>
      <c r="S111" s="435"/>
      <c r="T111" s="435"/>
      <c r="U111" s="435"/>
      <c r="V111" s="435"/>
      <c r="W111" s="435"/>
      <c r="X111" s="435"/>
      <c r="Y111" s="435"/>
      <c r="Z111" s="435"/>
      <c r="AA111" s="435"/>
      <c r="AB111" s="435"/>
    </row>
    <row r="112" spans="2:28" ht="12.6" customHeight="1">
      <c r="B112" s="420"/>
      <c r="D112" s="266"/>
      <c r="E112" s="266"/>
      <c r="F112" s="266"/>
      <c r="G112" s="266"/>
      <c r="H112" s="266"/>
      <c r="I112" s="266"/>
      <c r="J112" s="266"/>
      <c r="K112" s="266"/>
      <c r="L112" s="266"/>
      <c r="M112" s="266"/>
      <c r="N112" s="266"/>
      <c r="O112" s="266"/>
      <c r="P112" s="266"/>
      <c r="Q112" s="266"/>
      <c r="R112" s="266"/>
      <c r="S112" s="266"/>
      <c r="T112" s="266"/>
      <c r="U112" s="266"/>
      <c r="V112" s="266"/>
      <c r="W112" s="266"/>
      <c r="X112" s="266"/>
      <c r="Y112" s="266"/>
      <c r="Z112" s="266"/>
      <c r="AA112" s="266"/>
      <c r="AB112" s="266"/>
    </row>
    <row r="123" spans="2:28" customFormat="1" ht="12.6" customHeight="1">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c r="AA123" s="247"/>
      <c r="AB123" s="247"/>
    </row>
    <row r="124" spans="2:28" customFormat="1" ht="12.6" customHeight="1">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c r="AA124" s="247"/>
      <c r="AB124" s="247"/>
    </row>
    <row r="125" spans="2:28" customFormat="1" ht="12.6" customHeight="1">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c r="AA125" s="247"/>
      <c r="AB125" s="247"/>
    </row>
    <row r="126" spans="2:28" customFormat="1" ht="12.6" customHeight="1">
      <c r="B126" s="247"/>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c r="AA126" s="247"/>
      <c r="AB126" s="247"/>
    </row>
    <row r="127" spans="2:28" customFormat="1" ht="12.6" customHeight="1">
      <c r="B127" s="247"/>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c r="AA127" s="247"/>
      <c r="AB127" s="247"/>
    </row>
    <row r="128" spans="2:28" customFormat="1" ht="12.6" customHeight="1">
      <c r="B128" s="247"/>
      <c r="C128" s="247"/>
      <c r="D128" s="247"/>
      <c r="E128" s="247"/>
      <c r="F128" s="247"/>
      <c r="G128" s="247"/>
      <c r="H128" s="247"/>
      <c r="I128" s="247"/>
      <c r="J128" s="247"/>
      <c r="K128" s="247"/>
      <c r="L128" s="247"/>
      <c r="M128" s="247"/>
      <c r="N128" s="247"/>
      <c r="O128" s="247"/>
      <c r="P128" s="247"/>
      <c r="Q128" s="247"/>
      <c r="R128" s="247"/>
      <c r="S128" s="247"/>
      <c r="T128" s="247"/>
      <c r="U128" s="247"/>
      <c r="V128" s="247"/>
      <c r="W128" s="247"/>
      <c r="X128" s="247"/>
      <c r="Y128" s="247"/>
      <c r="Z128" s="247"/>
      <c r="AA128" s="247"/>
      <c r="AB128" s="247"/>
    </row>
    <row r="129" spans="2:28" customFormat="1" ht="12.6" customHeight="1">
      <c r="B129" s="247"/>
      <c r="C129" s="247"/>
      <c r="D129" s="247"/>
      <c r="E129" s="247"/>
      <c r="F129" s="247"/>
      <c r="G129" s="247"/>
      <c r="H129" s="247"/>
      <c r="I129" s="247"/>
      <c r="J129" s="247"/>
      <c r="K129" s="247"/>
      <c r="L129" s="247"/>
      <c r="M129" s="247"/>
      <c r="N129" s="247"/>
      <c r="O129" s="247"/>
      <c r="P129" s="247"/>
      <c r="Q129" s="247"/>
      <c r="R129" s="247"/>
      <c r="S129" s="247"/>
      <c r="T129" s="247"/>
      <c r="U129" s="247"/>
      <c r="V129" s="247"/>
      <c r="W129" s="247"/>
      <c r="X129" s="247"/>
      <c r="Y129" s="247"/>
      <c r="Z129" s="247"/>
      <c r="AA129" s="247"/>
      <c r="AB129" s="247"/>
    </row>
    <row r="130" spans="2:28" customFormat="1" ht="12.6" customHeight="1">
      <c r="B130" s="247"/>
      <c r="C130" s="247"/>
      <c r="D130" s="247"/>
      <c r="E130" s="247"/>
      <c r="F130" s="247"/>
      <c r="G130" s="247"/>
      <c r="H130" s="247"/>
      <c r="I130" s="247"/>
      <c r="J130" s="247"/>
      <c r="K130" s="247"/>
      <c r="L130" s="247"/>
      <c r="M130" s="247"/>
      <c r="N130" s="247"/>
      <c r="O130" s="247"/>
      <c r="P130" s="247"/>
      <c r="Q130" s="247"/>
      <c r="R130" s="247"/>
      <c r="S130" s="247"/>
      <c r="T130" s="247"/>
      <c r="U130" s="247"/>
      <c r="V130" s="247"/>
      <c r="W130" s="247"/>
      <c r="X130" s="247"/>
      <c r="Y130" s="247"/>
      <c r="Z130" s="247"/>
      <c r="AA130" s="247"/>
      <c r="AB130" s="247"/>
    </row>
    <row r="131" spans="2:28" customFormat="1" ht="12.6" customHeight="1">
      <c r="B131" s="247"/>
      <c r="C131" s="247"/>
      <c r="D131" s="247"/>
      <c r="E131" s="247"/>
      <c r="F131" s="247"/>
      <c r="G131" s="247"/>
      <c r="H131" s="247"/>
      <c r="I131" s="247"/>
      <c r="J131" s="247"/>
      <c r="K131" s="247"/>
      <c r="L131" s="247"/>
      <c r="M131" s="247"/>
      <c r="N131" s="247"/>
      <c r="O131" s="247"/>
      <c r="P131" s="247"/>
      <c r="Q131" s="247"/>
      <c r="R131" s="247"/>
      <c r="S131" s="247"/>
      <c r="T131" s="247"/>
      <c r="U131" s="247"/>
      <c r="V131" s="247"/>
      <c r="W131" s="247"/>
      <c r="X131" s="247"/>
      <c r="Y131" s="247"/>
      <c r="Z131" s="247"/>
      <c r="AA131" s="247"/>
      <c r="AB131" s="247"/>
    </row>
    <row r="132" spans="2:28" customFormat="1" ht="12.6" customHeight="1">
      <c r="B132" s="247"/>
      <c r="C132" s="247"/>
      <c r="D132" s="247"/>
      <c r="E132" s="247"/>
      <c r="F132" s="247"/>
      <c r="G132" s="247"/>
      <c r="H132" s="247"/>
      <c r="I132" s="247"/>
      <c r="J132" s="247"/>
      <c r="K132" s="247"/>
      <c r="L132" s="247"/>
      <c r="M132" s="247"/>
      <c r="N132" s="247"/>
      <c r="O132" s="247"/>
      <c r="P132" s="247"/>
      <c r="Q132" s="247"/>
      <c r="R132" s="247"/>
      <c r="S132" s="247"/>
      <c r="T132" s="247"/>
      <c r="U132" s="247"/>
      <c r="V132" s="247"/>
      <c r="W132" s="247"/>
      <c r="X132" s="247"/>
      <c r="Y132" s="247"/>
      <c r="Z132" s="247"/>
      <c r="AA132" s="247"/>
      <c r="AB132" s="247"/>
    </row>
    <row r="133" spans="2:28" customFormat="1" ht="12.6" customHeight="1">
      <c r="B133" s="247"/>
      <c r="C133" s="247"/>
      <c r="D133" s="247"/>
      <c r="E133" s="247"/>
      <c r="F133" s="247"/>
      <c r="G133" s="247"/>
      <c r="H133" s="247"/>
      <c r="I133" s="247"/>
      <c r="J133" s="247"/>
      <c r="K133" s="247"/>
      <c r="L133" s="247"/>
      <c r="M133" s="247"/>
      <c r="N133" s="247"/>
      <c r="O133" s="247"/>
      <c r="P133" s="247"/>
      <c r="Q133" s="247"/>
      <c r="R133" s="247"/>
      <c r="S133" s="247"/>
      <c r="T133" s="247"/>
      <c r="U133" s="247"/>
      <c r="V133" s="247"/>
      <c r="W133" s="247"/>
      <c r="X133" s="247"/>
      <c r="Y133" s="247"/>
      <c r="Z133" s="247"/>
      <c r="AA133" s="247"/>
      <c r="AB133" s="247"/>
    </row>
    <row r="134" spans="2:28" customFormat="1" ht="12.6" customHeight="1">
      <c r="B134" s="247"/>
      <c r="C134" s="247"/>
      <c r="D134" s="247"/>
      <c r="E134" s="247"/>
      <c r="F134" s="247"/>
      <c r="G134" s="247"/>
      <c r="H134" s="247"/>
      <c r="I134" s="247"/>
      <c r="J134" s="247"/>
      <c r="K134" s="247"/>
      <c r="L134" s="247"/>
      <c r="M134" s="247"/>
      <c r="N134" s="247"/>
      <c r="O134" s="247"/>
      <c r="P134" s="247"/>
      <c r="Q134" s="247"/>
      <c r="R134" s="247"/>
      <c r="S134" s="247"/>
      <c r="T134" s="247"/>
      <c r="U134" s="247"/>
      <c r="V134" s="247"/>
      <c r="W134" s="247"/>
      <c r="X134" s="247"/>
      <c r="Y134" s="247"/>
      <c r="Z134" s="247"/>
      <c r="AA134" s="247"/>
      <c r="AB134" s="247"/>
    </row>
    <row r="135" spans="2:28" customFormat="1" ht="12.6" customHeight="1">
      <c r="B135" s="247"/>
      <c r="C135" s="247"/>
      <c r="D135" s="247"/>
      <c r="E135" s="247"/>
      <c r="F135" s="247"/>
      <c r="G135" s="247"/>
      <c r="H135" s="247"/>
      <c r="I135" s="247"/>
      <c r="J135" s="247"/>
      <c r="K135" s="247"/>
      <c r="L135" s="247"/>
      <c r="M135" s="247"/>
      <c r="N135" s="247"/>
      <c r="O135" s="247"/>
      <c r="P135" s="247"/>
      <c r="Q135" s="247"/>
      <c r="R135" s="247"/>
      <c r="S135" s="247"/>
      <c r="T135" s="247"/>
      <c r="U135" s="247"/>
      <c r="V135" s="247"/>
      <c r="W135" s="247"/>
      <c r="X135" s="247"/>
      <c r="Y135" s="247"/>
      <c r="Z135" s="247"/>
      <c r="AA135" s="247"/>
      <c r="AB135" s="247"/>
    </row>
    <row r="136" spans="2:28" customFormat="1" ht="12.6" customHeight="1">
      <c r="B136" s="247"/>
      <c r="C136" s="247"/>
      <c r="D136" s="247"/>
      <c r="E136" s="247"/>
      <c r="F136" s="247"/>
      <c r="G136" s="247"/>
      <c r="H136" s="247"/>
      <c r="I136" s="247"/>
      <c r="J136" s="247"/>
      <c r="K136" s="247"/>
      <c r="L136" s="247"/>
      <c r="M136" s="247"/>
      <c r="N136" s="247"/>
      <c r="O136" s="247"/>
      <c r="P136" s="247"/>
      <c r="Q136" s="247"/>
      <c r="R136" s="247"/>
      <c r="S136" s="247"/>
      <c r="T136" s="247"/>
      <c r="U136" s="247"/>
      <c r="V136" s="247"/>
      <c r="W136" s="247"/>
      <c r="X136" s="247"/>
      <c r="Y136" s="247"/>
      <c r="Z136" s="247"/>
      <c r="AA136" s="247"/>
      <c r="AB136" s="247"/>
    </row>
    <row r="137" spans="2:28" customFormat="1" ht="12.6" customHeight="1">
      <c r="B137" s="247"/>
      <c r="C137" s="247"/>
      <c r="D137" s="247"/>
      <c r="E137" s="247"/>
      <c r="F137" s="247"/>
      <c r="G137" s="247"/>
      <c r="H137" s="247"/>
      <c r="I137" s="247"/>
      <c r="J137" s="247"/>
      <c r="K137" s="247"/>
      <c r="L137" s="247"/>
      <c r="M137" s="247"/>
      <c r="N137" s="247"/>
      <c r="O137" s="247"/>
      <c r="P137" s="247"/>
      <c r="Q137" s="247"/>
      <c r="R137" s="247"/>
      <c r="S137" s="247"/>
      <c r="T137" s="247"/>
      <c r="U137" s="247"/>
      <c r="V137" s="247"/>
      <c r="W137" s="247"/>
      <c r="X137" s="247"/>
      <c r="Y137" s="247"/>
      <c r="Z137" s="247"/>
      <c r="AA137" s="247"/>
      <c r="AB137" s="247"/>
    </row>
    <row r="138" spans="2:28" customFormat="1" ht="12.6" customHeight="1">
      <c r="B138" s="247"/>
      <c r="C138" s="247"/>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c r="AA138" s="247"/>
      <c r="AB138" s="247"/>
    </row>
    <row r="139" spans="2:28" customFormat="1" ht="12.6" customHeight="1">
      <c r="B139" s="247"/>
      <c r="C139" s="247"/>
      <c r="D139" s="247"/>
      <c r="E139" s="247"/>
      <c r="F139" s="247"/>
      <c r="G139" s="247"/>
      <c r="H139" s="247"/>
      <c r="I139" s="247"/>
      <c r="J139" s="247"/>
      <c r="K139" s="247"/>
      <c r="L139" s="247"/>
      <c r="M139" s="247"/>
      <c r="N139" s="247"/>
      <c r="O139" s="247"/>
      <c r="P139" s="247"/>
      <c r="Q139" s="247"/>
      <c r="R139" s="247"/>
      <c r="S139" s="247"/>
      <c r="T139" s="247"/>
      <c r="U139" s="247"/>
      <c r="V139" s="247"/>
      <c r="W139" s="247"/>
      <c r="X139" s="247"/>
      <c r="Y139" s="247"/>
      <c r="Z139" s="247"/>
      <c r="AA139" s="247"/>
      <c r="AB139" s="247"/>
    </row>
    <row r="140" spans="2:28" customFormat="1" ht="12.6" customHeight="1">
      <c r="B140" s="247"/>
      <c r="C140" s="247"/>
      <c r="D140" s="247"/>
      <c r="E140" s="247"/>
      <c r="F140" s="247"/>
      <c r="G140" s="247"/>
      <c r="H140" s="247"/>
      <c r="I140" s="247"/>
      <c r="J140" s="247"/>
      <c r="K140" s="247"/>
      <c r="L140" s="247"/>
      <c r="M140" s="247"/>
      <c r="N140" s="247"/>
      <c r="O140" s="247"/>
      <c r="P140" s="247"/>
      <c r="Q140" s="247"/>
      <c r="R140" s="247"/>
      <c r="S140" s="247"/>
      <c r="T140" s="247"/>
      <c r="U140" s="247"/>
      <c r="V140" s="247"/>
      <c r="W140" s="247"/>
      <c r="X140" s="247"/>
      <c r="Y140" s="247"/>
      <c r="Z140" s="247"/>
      <c r="AA140" s="247"/>
      <c r="AB140" s="247"/>
    </row>
    <row r="141" spans="2:28" customFormat="1" ht="12.6" customHeight="1">
      <c r="B141" s="247"/>
      <c r="C141" s="247"/>
      <c r="D141" s="247"/>
      <c r="E141" s="247"/>
      <c r="F141" s="247"/>
      <c r="G141" s="247"/>
      <c r="H141" s="247"/>
      <c r="I141" s="247"/>
      <c r="J141" s="247"/>
      <c r="K141" s="247"/>
      <c r="L141" s="247"/>
      <c r="M141" s="247"/>
      <c r="N141" s="247"/>
      <c r="O141" s="247"/>
      <c r="P141" s="247"/>
      <c r="Q141" s="247"/>
      <c r="R141" s="247"/>
      <c r="S141" s="247"/>
      <c r="T141" s="247"/>
      <c r="U141" s="247"/>
      <c r="V141" s="247"/>
      <c r="W141" s="247"/>
      <c r="X141" s="247"/>
      <c r="Y141" s="247"/>
      <c r="Z141" s="247"/>
      <c r="AA141" s="247"/>
      <c r="AB141" s="247"/>
    </row>
    <row r="142" spans="2:28" customFormat="1" ht="12.6" customHeight="1">
      <c r="B142" s="247"/>
      <c r="C142" s="247"/>
      <c r="D142" s="247"/>
      <c r="E142" s="247"/>
      <c r="F142" s="247"/>
      <c r="G142" s="247"/>
      <c r="H142" s="247"/>
      <c r="I142" s="247"/>
      <c r="J142" s="247"/>
      <c r="K142" s="247"/>
      <c r="L142" s="247"/>
      <c r="M142" s="247"/>
      <c r="N142" s="247"/>
      <c r="O142" s="247"/>
      <c r="P142" s="247"/>
      <c r="Q142" s="247"/>
      <c r="R142" s="247"/>
      <c r="S142" s="247"/>
      <c r="T142" s="247"/>
      <c r="U142" s="247"/>
      <c r="V142" s="247"/>
      <c r="W142" s="247"/>
      <c r="X142" s="247"/>
      <c r="Y142" s="247"/>
      <c r="Z142" s="247"/>
      <c r="AA142" s="247"/>
      <c r="AB142" s="247"/>
    </row>
    <row r="143" spans="2:28" customFormat="1" ht="12.6" customHeight="1">
      <c r="B143" s="247"/>
      <c r="C143" s="247"/>
      <c r="D143" s="247"/>
      <c r="E143" s="247"/>
      <c r="F143" s="247"/>
      <c r="G143" s="247"/>
      <c r="H143" s="247"/>
      <c r="I143" s="247"/>
      <c r="J143" s="247"/>
      <c r="K143" s="247"/>
      <c r="L143" s="247"/>
      <c r="M143" s="247"/>
      <c r="N143" s="247"/>
      <c r="O143" s="247"/>
      <c r="P143" s="247"/>
      <c r="Q143" s="247"/>
      <c r="R143" s="247"/>
      <c r="S143" s="247"/>
      <c r="T143" s="247"/>
      <c r="U143" s="247"/>
      <c r="V143" s="247"/>
      <c r="W143" s="247"/>
      <c r="X143" s="247"/>
      <c r="Y143" s="247"/>
      <c r="Z143" s="247"/>
      <c r="AA143" s="247"/>
      <c r="AB143" s="247"/>
    </row>
    <row r="144" spans="2:28" customFormat="1" ht="12.6" customHeight="1">
      <c r="B144" s="247"/>
      <c r="C144" s="247"/>
      <c r="D144" s="247"/>
      <c r="E144" s="247"/>
      <c r="F144" s="247"/>
      <c r="G144" s="247"/>
      <c r="H144" s="247"/>
      <c r="I144" s="247"/>
      <c r="J144" s="247"/>
      <c r="K144" s="247"/>
      <c r="L144" s="247"/>
      <c r="M144" s="247"/>
      <c r="N144" s="247"/>
      <c r="O144" s="247"/>
      <c r="P144" s="247"/>
      <c r="Q144" s="247"/>
      <c r="R144" s="247"/>
      <c r="S144" s="247"/>
      <c r="T144" s="247"/>
      <c r="U144" s="247"/>
      <c r="V144" s="247"/>
      <c r="W144" s="247"/>
      <c r="X144" s="247"/>
      <c r="Y144" s="247"/>
      <c r="Z144" s="247"/>
      <c r="AA144" s="247"/>
      <c r="AB144" s="247"/>
    </row>
    <row r="145" spans="2:28" customFormat="1" ht="12.6" customHeight="1">
      <c r="B145" s="247"/>
      <c r="C145" s="247"/>
      <c r="D145" s="247"/>
      <c r="E145" s="247"/>
      <c r="F145" s="247"/>
      <c r="G145" s="247"/>
      <c r="H145" s="247"/>
      <c r="I145" s="247"/>
      <c r="J145" s="247"/>
      <c r="K145" s="247"/>
      <c r="L145" s="247"/>
      <c r="M145" s="247"/>
      <c r="N145" s="247"/>
      <c r="O145" s="247"/>
      <c r="P145" s="247"/>
      <c r="Q145" s="247"/>
      <c r="R145" s="247"/>
      <c r="S145" s="247"/>
      <c r="T145" s="247"/>
      <c r="U145" s="247"/>
      <c r="V145" s="247"/>
      <c r="W145" s="247"/>
      <c r="X145" s="247"/>
      <c r="Y145" s="247"/>
      <c r="Z145" s="247"/>
      <c r="AA145" s="247"/>
      <c r="AB145" s="247"/>
    </row>
    <row r="146" spans="2:28" customFormat="1" ht="12.6" customHeight="1">
      <c r="B146" s="247"/>
      <c r="C146" s="247"/>
      <c r="D146" s="247"/>
      <c r="E146" s="247"/>
      <c r="F146" s="247"/>
      <c r="G146" s="247"/>
      <c r="H146" s="247"/>
      <c r="I146" s="247"/>
      <c r="J146" s="247"/>
      <c r="K146" s="247"/>
      <c r="L146" s="247"/>
      <c r="M146" s="247"/>
      <c r="N146" s="247"/>
      <c r="O146" s="247"/>
      <c r="P146" s="247"/>
      <c r="Q146" s="247"/>
      <c r="R146" s="247"/>
      <c r="S146" s="247"/>
      <c r="T146" s="247"/>
      <c r="U146" s="247"/>
      <c r="V146" s="247"/>
      <c r="W146" s="247"/>
      <c r="X146" s="247"/>
      <c r="Y146" s="247"/>
      <c r="Z146" s="247"/>
      <c r="AA146" s="247"/>
      <c r="AB146" s="247"/>
    </row>
    <row r="147" spans="2:28" customFormat="1" ht="12.6" customHeight="1">
      <c r="B147" s="247"/>
      <c r="C147" s="247"/>
      <c r="D147" s="247"/>
      <c r="E147" s="247"/>
      <c r="F147" s="247"/>
      <c r="G147" s="247"/>
      <c r="H147" s="247"/>
      <c r="I147" s="247"/>
      <c r="J147" s="247"/>
      <c r="K147" s="247"/>
      <c r="L147" s="247"/>
      <c r="M147" s="247"/>
      <c r="N147" s="247"/>
      <c r="O147" s="247"/>
      <c r="P147" s="247"/>
      <c r="Q147" s="247"/>
      <c r="R147" s="247"/>
      <c r="S147" s="247"/>
      <c r="T147" s="247"/>
      <c r="U147" s="247"/>
      <c r="V147" s="247"/>
      <c r="W147" s="247"/>
      <c r="X147" s="247"/>
      <c r="Y147" s="247"/>
      <c r="Z147" s="247"/>
      <c r="AA147" s="247"/>
      <c r="AB147" s="247"/>
    </row>
    <row r="148" spans="2:28" customFormat="1" ht="12.6" customHeight="1">
      <c r="B148" s="247"/>
      <c r="C148" s="247"/>
      <c r="D148" s="247"/>
      <c r="E148" s="247"/>
      <c r="F148" s="247"/>
      <c r="G148" s="247"/>
      <c r="H148" s="247"/>
      <c r="I148" s="247"/>
      <c r="J148" s="247"/>
      <c r="K148" s="247"/>
      <c r="L148" s="247"/>
      <c r="M148" s="247"/>
      <c r="N148" s="247"/>
      <c r="O148" s="247"/>
      <c r="P148" s="247"/>
      <c r="Q148" s="247"/>
      <c r="R148" s="247"/>
      <c r="S148" s="247"/>
      <c r="T148" s="247"/>
      <c r="U148" s="247"/>
      <c r="V148" s="247"/>
      <c r="W148" s="247"/>
      <c r="X148" s="247"/>
      <c r="Y148" s="247"/>
      <c r="Z148" s="247"/>
      <c r="AA148" s="247"/>
      <c r="AB148" s="247"/>
    </row>
    <row r="242" spans="4:28" ht="12.6" customHeight="1">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c r="Z242" s="267"/>
      <c r="AA242" s="267"/>
      <c r="AB242" s="267">
        <v>0</v>
      </c>
    </row>
    <row r="243" spans="4:28" ht="12.6" customHeight="1">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c r="Z243" s="267"/>
      <c r="AA243" s="267"/>
      <c r="AB243" s="267">
        <v>0</v>
      </c>
    </row>
    <row r="244" spans="4:28" ht="12.6" customHeight="1">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c r="Z244" s="267"/>
      <c r="AA244" s="267"/>
      <c r="AB244" s="267">
        <v>0</v>
      </c>
    </row>
    <row r="245" spans="4:28" ht="12.6" customHeight="1">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c r="Z245" s="267"/>
      <c r="AA245" s="267"/>
      <c r="AB245" s="267">
        <v>0</v>
      </c>
    </row>
    <row r="246" spans="4:28" ht="12.6" customHeight="1">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c r="Z246" s="267"/>
      <c r="AA246" s="267"/>
      <c r="AB246" s="267">
        <v>0</v>
      </c>
    </row>
    <row r="247" spans="4:28" ht="12.6" customHeight="1">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c r="Z247" s="267"/>
      <c r="AA247" s="267"/>
      <c r="AB247" s="267">
        <v>0</v>
      </c>
    </row>
    <row r="248" spans="4:28" ht="12.6" customHeight="1">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c r="Z248" s="267"/>
      <c r="AA248" s="267"/>
      <c r="AB248" s="267">
        <v>0</v>
      </c>
    </row>
    <row r="249" spans="4:28" ht="12.6" customHeight="1">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c r="Z249" s="267"/>
      <c r="AA249" s="267"/>
      <c r="AB249" s="267">
        <v>0</v>
      </c>
    </row>
    <row r="250" spans="4:28" ht="12.6" customHeight="1">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c r="Z250" s="267"/>
      <c r="AA250" s="267"/>
      <c r="AB250" s="267">
        <v>0</v>
      </c>
    </row>
    <row r="251" spans="4:28" ht="12.6" customHeight="1">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c r="Z251" s="267"/>
      <c r="AA251" s="267"/>
      <c r="AB251" s="267">
        <v>0</v>
      </c>
    </row>
    <row r="252" spans="4:28" ht="12.6" customHeight="1">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c r="Z252" s="267"/>
      <c r="AA252" s="267"/>
      <c r="AB252" s="267">
        <v>0</v>
      </c>
    </row>
    <row r="253" spans="4:28" ht="12.6" customHeight="1">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c r="Z253" s="267"/>
      <c r="AA253" s="267"/>
      <c r="AB253" s="267">
        <v>0</v>
      </c>
    </row>
    <row r="254" spans="4:28" ht="12.6" customHeight="1">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c r="Z254" s="267"/>
      <c r="AA254" s="267"/>
      <c r="AB254" s="267">
        <v>0</v>
      </c>
    </row>
    <row r="255" spans="4:28" ht="12.6" customHeight="1">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c r="Z255" s="267"/>
      <c r="AA255" s="267"/>
      <c r="AB255" s="267">
        <v>0</v>
      </c>
    </row>
    <row r="256" spans="4:28" ht="12.6" customHeight="1">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c r="Z256" s="267"/>
      <c r="AA256" s="267"/>
      <c r="AB256" s="267">
        <v>0</v>
      </c>
    </row>
    <row r="257" spans="2:28" customFormat="1" ht="12.6" customHeight="1">
      <c r="B257" s="247"/>
      <c r="C257" s="247"/>
      <c r="D257" s="247"/>
      <c r="E257" s="247"/>
      <c r="F257" s="247"/>
      <c r="G257" s="247"/>
      <c r="H257" s="247"/>
      <c r="I257" s="247"/>
      <c r="J257" s="247"/>
      <c r="K257" s="247"/>
      <c r="L257" s="247"/>
      <c r="M257" s="247"/>
      <c r="N257" s="247"/>
      <c r="O257" s="247"/>
      <c r="P257" s="247"/>
      <c r="Q257" s="247"/>
      <c r="R257" s="247"/>
      <c r="S257" s="247"/>
      <c r="T257" s="247"/>
      <c r="U257" s="247"/>
      <c r="V257" s="247"/>
      <c r="W257" s="247"/>
      <c r="X257" s="247"/>
      <c r="Y257" s="247"/>
      <c r="Z257" s="247"/>
      <c r="AA257" s="247"/>
      <c r="AB257" s="247"/>
    </row>
    <row r="258" spans="2:28" customFormat="1" ht="12.6" customHeight="1">
      <c r="B258" s="247"/>
      <c r="C258" s="247"/>
      <c r="D258" s="247"/>
      <c r="E258" s="247"/>
      <c r="F258" s="247"/>
      <c r="G258" s="247"/>
      <c r="H258" s="247"/>
      <c r="I258" s="247"/>
      <c r="J258" s="247"/>
      <c r="K258" s="247"/>
      <c r="L258" s="247"/>
      <c r="M258" s="247"/>
      <c r="N258" s="247"/>
      <c r="O258" s="247"/>
      <c r="P258" s="247"/>
      <c r="Q258" s="247"/>
      <c r="R258" s="247"/>
      <c r="S258" s="247"/>
      <c r="T258" s="247"/>
      <c r="U258" s="247"/>
      <c r="V258" s="247"/>
      <c r="W258" s="247"/>
      <c r="X258" s="247"/>
      <c r="Y258" s="247"/>
      <c r="Z258" s="247"/>
      <c r="AA258" s="247"/>
      <c r="AB258" s="247"/>
    </row>
    <row r="259" spans="2:28" ht="12.6" customHeight="1">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c r="Z259" s="267"/>
      <c r="AA259" s="267"/>
      <c r="AB259" s="267">
        <v>0</v>
      </c>
    </row>
    <row r="260" spans="2:28" ht="12.6" customHeight="1">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c r="Z260" s="267"/>
      <c r="AA260" s="267"/>
      <c r="AB260" s="267"/>
    </row>
    <row r="261" spans="2:28" ht="12.6" customHeight="1">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c r="Z261" s="267"/>
      <c r="AA261" s="267"/>
      <c r="AB261" s="267"/>
    </row>
    <row r="262" spans="2:28" ht="12.6" customHeight="1">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c r="Z262" s="267"/>
      <c r="AA262" s="267"/>
      <c r="AB262" s="267"/>
    </row>
    <row r="263" spans="2:28" ht="12.6" customHeight="1">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c r="Z263" s="267"/>
      <c r="AA263" s="267"/>
      <c r="AB263" s="267"/>
    </row>
    <row r="264" spans="2:28" ht="12.6" customHeight="1">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c r="Z264" s="267"/>
      <c r="AA264" s="267"/>
      <c r="AB264" s="267"/>
    </row>
    <row r="265" spans="2:28" ht="12.6" customHeight="1">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c r="Z265" s="267"/>
      <c r="AA265" s="267"/>
      <c r="AB265" s="267"/>
    </row>
    <row r="266" spans="2:28" ht="12.6" customHeight="1">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c r="Z266" s="267"/>
      <c r="AA266" s="267"/>
      <c r="AB266" s="267"/>
    </row>
    <row r="267" spans="2:28" ht="12.6" customHeight="1">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c r="Z267" s="267"/>
      <c r="AA267" s="267"/>
      <c r="AB267" s="267"/>
    </row>
    <row r="268" spans="2:28" ht="12.6" customHeight="1">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c r="Z268" s="267"/>
      <c r="AA268" s="267"/>
      <c r="AB268" s="267"/>
    </row>
    <row r="269" spans="2:28" ht="12.6" customHeight="1">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c r="Z269" s="267"/>
      <c r="AA269" s="267"/>
      <c r="AB269" s="267"/>
    </row>
    <row r="270" spans="2:28" ht="12.6" customHeight="1">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c r="Z270" s="267"/>
      <c r="AA270" s="267"/>
      <c r="AB270" s="267"/>
    </row>
    <row r="271" spans="2:28" ht="12.6" customHeight="1">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c r="Z271" s="267"/>
      <c r="AA271" s="267"/>
      <c r="AB271" s="267"/>
    </row>
    <row r="272" spans="2:28" ht="12.6" customHeight="1">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c r="Z272" s="267"/>
      <c r="AA272" s="267"/>
      <c r="AB272" s="267"/>
    </row>
    <row r="273" spans="4:28" ht="12.6" customHeight="1">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c r="Z273" s="267"/>
      <c r="AA273" s="267"/>
      <c r="AB273" s="267"/>
    </row>
    <row r="274" spans="4:28" ht="12.6" customHeight="1">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c r="Z274" s="267"/>
      <c r="AA274" s="267"/>
      <c r="AB274" s="267"/>
    </row>
    <row r="275" spans="4:28" ht="12.6" customHeight="1">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c r="Z275" s="267"/>
      <c r="AA275" s="267"/>
      <c r="AB275" s="267"/>
    </row>
    <row r="276" spans="4:28" ht="12.6" customHeight="1">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c r="Z276" s="267"/>
      <c r="AA276" s="267"/>
      <c r="AB276" s="267"/>
    </row>
    <row r="277" spans="4:28" ht="12.6" customHeight="1">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c r="Z277" s="267"/>
      <c r="AA277" s="267"/>
      <c r="AB277" s="267"/>
    </row>
    <row r="278" spans="4:28" ht="12.6" customHeight="1">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c r="Z278" s="267"/>
      <c r="AA278" s="267"/>
      <c r="AB278" s="267"/>
    </row>
    <row r="279" spans="4:28" ht="12.6" customHeight="1">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c r="Z279" s="267"/>
      <c r="AA279" s="267"/>
      <c r="AB279" s="267"/>
    </row>
    <row r="280" spans="4:28" ht="12.6" customHeight="1">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c r="Z280" s="267"/>
      <c r="AA280" s="267"/>
      <c r="AB280" s="267"/>
    </row>
    <row r="281" spans="4:28" ht="12.6" customHeight="1">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c r="Z281" s="267"/>
      <c r="AA281" s="267"/>
      <c r="AB281" s="267"/>
    </row>
    <row r="282" spans="4:28" ht="12.6" customHeight="1">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c r="Z282" s="267"/>
      <c r="AA282" s="267"/>
      <c r="AB282" s="267"/>
    </row>
    <row r="283" spans="4:28" ht="12.6" customHeight="1">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c r="Z283" s="267"/>
      <c r="AA283" s="267"/>
      <c r="AB283" s="267"/>
    </row>
    <row r="284" spans="4:28" ht="12.6" customHeight="1">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c r="Z284" s="267"/>
      <c r="AA284" s="267"/>
      <c r="AB284" s="267"/>
    </row>
    <row r="285" spans="4:28" ht="12.6" customHeight="1">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c r="Z285" s="267"/>
      <c r="AA285" s="267"/>
      <c r="AB285" s="267"/>
    </row>
    <row r="286" spans="4:28" ht="12.6" customHeight="1">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c r="Z286" s="267"/>
      <c r="AA286" s="267"/>
      <c r="AB286" s="267"/>
    </row>
    <row r="287" spans="4:28" ht="12.6" customHeight="1">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c r="Z287" s="267"/>
      <c r="AA287" s="267"/>
      <c r="AB287" s="267"/>
    </row>
    <row r="288" spans="4:28" ht="12.6" customHeight="1">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c r="Z288" s="267"/>
      <c r="AA288" s="267"/>
      <c r="AB288" s="267"/>
    </row>
    <row r="289" spans="4:28" ht="12.6" customHeight="1">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c r="Z289" s="267"/>
      <c r="AA289" s="267"/>
      <c r="AB289" s="267"/>
    </row>
    <row r="290" spans="4:28" ht="12.6" customHeight="1">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c r="Z290" s="267"/>
      <c r="AA290" s="267"/>
      <c r="AB290" s="267"/>
    </row>
    <row r="291" spans="4:28" ht="12.6" customHeight="1">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c r="Z291" s="267"/>
      <c r="AA291" s="267"/>
      <c r="AB291" s="267"/>
    </row>
    <row r="292" spans="4:28" ht="12.6" customHeight="1">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c r="Z292" s="267"/>
      <c r="AA292" s="267"/>
      <c r="AB292" s="267"/>
    </row>
    <row r="293" spans="4:28" ht="12.6" customHeight="1">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c r="Z293" s="267"/>
      <c r="AA293" s="267"/>
      <c r="AB293" s="267"/>
    </row>
  </sheetData>
  <customSheetViews>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1"/>
      <headerFooter alignWithMargins="0">
        <oddFooter>&amp;L&amp;D &amp;T&amp;RO:\Naes\GenSvcs\TVA\TVA Model\&amp;F
&amp;A &amp;P</oddFooter>
      </headerFooter>
    </customSheetView>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2"/>
      <headerFooter alignWithMargins="0">
        <oddFooter>&amp;L&amp;D   &amp;T&amp;RO:\Naes\GenSvcs\Tva\Tva\Models\&amp;F
&amp;A   &amp;P</oddFooter>
      </headerFooter>
    </customSheetView>
  </customSheetViews>
  <pageMargins left="0.25" right="0.25" top="0.25" bottom="0.5" header="0" footer="0"/>
  <pageSetup scale="46" orientation="landscape" verticalDpi="300" r:id="rId3"/>
  <headerFooter alignWithMargins="0">
    <oddFooter>&amp;L&amp;D   &amp;T&amp;R&amp;F
&amp;A &amp;P</oddFooter>
  </headerFooter>
  <colBreaks count="1" manualBreakCount="1">
    <brk id="15" max="61"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2"/>
  <sheetViews>
    <sheetView topLeftCell="I1" zoomScale="75" zoomScaleNormal="75" workbookViewId="0">
      <selection activeCell="D22" sqref="D22:X22"/>
    </sheetView>
  </sheetViews>
  <sheetFormatPr defaultColWidth="9.28515625" defaultRowHeight="12.6" customHeight="1"/>
  <cols>
    <col min="1" max="1" width="24.7109375" style="205" customWidth="1"/>
    <col min="2" max="2" width="14.7109375" style="205" customWidth="1"/>
    <col min="3" max="3" width="9.7109375" style="205" bestFit="1" customWidth="1"/>
    <col min="4" max="28" width="9.28515625" style="205" bestFit="1" customWidth="1"/>
    <col min="29" max="29" width="9.28515625" style="253" customWidth="1"/>
    <col min="30" max="30" width="9.28515625" style="15" customWidth="1"/>
    <col min="31" max="16384" width="9.28515625" style="8"/>
  </cols>
  <sheetData>
    <row r="1" spans="1:54" ht="20.25">
      <c r="A1" s="501" t="str">
        <f>'Project Assumptions'!$A$2</f>
        <v>GLEASON, TN</v>
      </c>
      <c r="B1" s="508"/>
    </row>
    <row r="2" spans="1:54" ht="15.6" customHeight="1">
      <c r="A2" s="503" t="s">
        <v>42</v>
      </c>
      <c r="B2" s="509"/>
    </row>
    <row r="3" spans="1:54" s="1" customFormat="1" ht="12.6" customHeight="1">
      <c r="A3" s="279"/>
      <c r="B3" s="247"/>
      <c r="C3" s="257"/>
      <c r="D3" s="257">
        <v>1</v>
      </c>
      <c r="E3" s="257">
        <f>D3+1</f>
        <v>2</v>
      </c>
      <c r="F3" s="257">
        <f t="shared" ref="F3:AB3" si="0">E3+1</f>
        <v>3</v>
      </c>
      <c r="G3" s="257">
        <f t="shared" si="0"/>
        <v>4</v>
      </c>
      <c r="H3" s="257">
        <f t="shared" si="0"/>
        <v>5</v>
      </c>
      <c r="I3" s="258">
        <f t="shared" si="0"/>
        <v>6</v>
      </c>
      <c r="J3" s="257">
        <f t="shared" si="0"/>
        <v>7</v>
      </c>
      <c r="K3" s="257">
        <f t="shared" si="0"/>
        <v>8</v>
      </c>
      <c r="L3" s="257">
        <f t="shared" si="0"/>
        <v>9</v>
      </c>
      <c r="M3" s="257">
        <f t="shared" si="0"/>
        <v>10</v>
      </c>
      <c r="N3" s="257">
        <f t="shared" si="0"/>
        <v>11</v>
      </c>
      <c r="O3" s="258">
        <f t="shared" si="0"/>
        <v>12</v>
      </c>
      <c r="P3" s="257">
        <f t="shared" si="0"/>
        <v>13</v>
      </c>
      <c r="Q3" s="257">
        <f t="shared" si="0"/>
        <v>14</v>
      </c>
      <c r="R3" s="257">
        <f t="shared" si="0"/>
        <v>15</v>
      </c>
      <c r="S3" s="257">
        <f t="shared" si="0"/>
        <v>16</v>
      </c>
      <c r="T3" s="257">
        <f t="shared" si="0"/>
        <v>17</v>
      </c>
      <c r="U3" s="258">
        <f t="shared" si="0"/>
        <v>18</v>
      </c>
      <c r="V3" s="257">
        <f t="shared" si="0"/>
        <v>19</v>
      </c>
      <c r="W3" s="257">
        <f t="shared" si="0"/>
        <v>20</v>
      </c>
      <c r="X3" s="257">
        <f t="shared" si="0"/>
        <v>21</v>
      </c>
      <c r="Y3" s="257">
        <f t="shared" si="0"/>
        <v>22</v>
      </c>
      <c r="Z3" s="257">
        <f t="shared" si="0"/>
        <v>23</v>
      </c>
      <c r="AA3" s="258">
        <f t="shared" si="0"/>
        <v>24</v>
      </c>
      <c r="AB3" s="257">
        <f t="shared" si="0"/>
        <v>25</v>
      </c>
      <c r="AC3" s="280"/>
      <c r="AD3"/>
    </row>
    <row r="4" spans="1:54" s="1" customFormat="1" ht="12.6" customHeight="1">
      <c r="A4" s="436"/>
      <c r="B4" s="437"/>
      <c r="C4" s="510"/>
      <c r="D4" s="505">
        <f>YEAR('Project Assumptions'!G16)</f>
        <v>2000</v>
      </c>
      <c r="E4" s="505">
        <f t="shared" ref="E4:AB4" si="1">D4+1</f>
        <v>2001</v>
      </c>
      <c r="F4" s="505">
        <f t="shared" si="1"/>
        <v>2002</v>
      </c>
      <c r="G4" s="505">
        <f t="shared" si="1"/>
        <v>2003</v>
      </c>
      <c r="H4" s="505">
        <f t="shared" si="1"/>
        <v>2004</v>
      </c>
      <c r="I4" s="505">
        <f t="shared" si="1"/>
        <v>2005</v>
      </c>
      <c r="J4" s="505">
        <f t="shared" si="1"/>
        <v>2006</v>
      </c>
      <c r="K4" s="505">
        <f t="shared" si="1"/>
        <v>2007</v>
      </c>
      <c r="L4" s="505">
        <f t="shared" si="1"/>
        <v>2008</v>
      </c>
      <c r="M4" s="505">
        <f t="shared" si="1"/>
        <v>2009</v>
      </c>
      <c r="N4" s="505">
        <f t="shared" si="1"/>
        <v>2010</v>
      </c>
      <c r="O4" s="505">
        <f t="shared" si="1"/>
        <v>2011</v>
      </c>
      <c r="P4" s="505">
        <f t="shared" si="1"/>
        <v>2012</v>
      </c>
      <c r="Q4" s="505">
        <f t="shared" si="1"/>
        <v>2013</v>
      </c>
      <c r="R4" s="505">
        <f t="shared" si="1"/>
        <v>2014</v>
      </c>
      <c r="S4" s="505">
        <f t="shared" si="1"/>
        <v>2015</v>
      </c>
      <c r="T4" s="505">
        <f t="shared" si="1"/>
        <v>2016</v>
      </c>
      <c r="U4" s="505">
        <f t="shared" si="1"/>
        <v>2017</v>
      </c>
      <c r="V4" s="505">
        <f t="shared" si="1"/>
        <v>2018</v>
      </c>
      <c r="W4" s="505">
        <f t="shared" si="1"/>
        <v>2019</v>
      </c>
      <c r="X4" s="505">
        <f t="shared" si="1"/>
        <v>2020</v>
      </c>
      <c r="Y4" s="505">
        <f t="shared" si="1"/>
        <v>2021</v>
      </c>
      <c r="Z4" s="505">
        <f t="shared" si="1"/>
        <v>2022</v>
      </c>
      <c r="AA4" s="505">
        <f t="shared" si="1"/>
        <v>2023</v>
      </c>
      <c r="AB4" s="506">
        <f t="shared" si="1"/>
        <v>2024</v>
      </c>
      <c r="AC4" s="259"/>
      <c r="AD4"/>
      <c r="AE4" s="32"/>
      <c r="AF4" s="32"/>
      <c r="AG4" s="32"/>
      <c r="AH4" s="32"/>
      <c r="AI4" s="32"/>
      <c r="AJ4" s="32"/>
      <c r="AK4" s="32"/>
      <c r="AL4" s="32"/>
      <c r="AM4" s="32"/>
      <c r="AN4" s="32"/>
      <c r="AO4" s="32"/>
      <c r="AP4" s="32"/>
      <c r="AQ4" s="32"/>
      <c r="AR4" s="32"/>
      <c r="AS4" s="32"/>
      <c r="AT4" s="32"/>
      <c r="AU4" s="32"/>
      <c r="AV4" s="32"/>
      <c r="AW4" s="32"/>
      <c r="AX4" s="32"/>
      <c r="AY4" s="32"/>
      <c r="AZ4" s="32"/>
    </row>
    <row r="5" spans="1:54" ht="12.6" customHeight="1">
      <c r="A5" s="511"/>
      <c r="B5" s="253"/>
      <c r="C5" s="297"/>
      <c r="D5" s="297"/>
      <c r="E5" s="297"/>
      <c r="F5" s="297"/>
      <c r="G5" s="297"/>
      <c r="H5" s="297"/>
      <c r="I5" s="297"/>
      <c r="J5" s="297"/>
      <c r="K5" s="297"/>
      <c r="L5" s="297"/>
      <c r="M5" s="297"/>
      <c r="N5" s="297"/>
      <c r="O5" s="297"/>
      <c r="P5" s="297"/>
      <c r="Q5" s="297"/>
      <c r="R5" s="297"/>
      <c r="S5" s="297"/>
      <c r="T5" s="297"/>
      <c r="U5" s="297"/>
      <c r="V5" s="297"/>
      <c r="W5" s="297"/>
      <c r="X5" s="297"/>
      <c r="Y5" s="297"/>
      <c r="Z5" s="297"/>
      <c r="AA5" s="297"/>
      <c r="AB5" s="512"/>
      <c r="AC5" s="297"/>
      <c r="AD5" s="9"/>
      <c r="AI5" s="10"/>
      <c r="AM5" s="10"/>
      <c r="AX5" s="10"/>
      <c r="BB5" s="10"/>
    </row>
    <row r="6" spans="1:54" ht="12.6" customHeight="1">
      <c r="A6" s="513" t="s">
        <v>33</v>
      </c>
      <c r="B6" s="253"/>
      <c r="C6" s="514">
        <f>SUM(D6:AD6)</f>
        <v>429244.26889134175</v>
      </c>
      <c r="D6" s="515">
        <f>IF(D3&gt;'Project Assumptions'!$I$15,0,'Book Income Statement'!D72)</f>
        <v>-512.68056633142987</v>
      </c>
      <c r="E6" s="515">
        <f>IF(E3&gt;'Project Assumptions'!$I$15,0,'Book Income Statement'!E72)</f>
        <v>6928.9395339149505</v>
      </c>
      <c r="F6" s="515">
        <f>IF(F3&gt;'Project Assumptions'!$I$15,0,'Book Income Statement'!F72)</f>
        <v>7213.5262874130331</v>
      </c>
      <c r="G6" s="515">
        <f>IF(G3&gt;'Project Assumptions'!$I$15,0,'Book Income Statement'!G72)</f>
        <v>12680.680583850901</v>
      </c>
      <c r="H6" s="515">
        <f>IF(H3&gt;'Project Assumptions'!$I$15,0,'Book Income Statement'!H72)</f>
        <v>17241.503070071703</v>
      </c>
      <c r="I6" s="515">
        <f>IF(I3&gt;'Project Assumptions'!$I$15,0,'Book Income Statement'!I72)</f>
        <v>18192.260974544246</v>
      </c>
      <c r="J6" s="515">
        <f>IF(J3&gt;'Project Assumptions'!$I$15,0,'Book Income Statement'!J72)</f>
        <v>19064.79852698504</v>
      </c>
      <c r="K6" s="515">
        <f>IF(K3&gt;'Project Assumptions'!$I$15,0,'Book Income Statement'!K72)</f>
        <v>20493.142493911233</v>
      </c>
      <c r="L6" s="515">
        <f>IF(L3&gt;'Project Assumptions'!$I$15,0,'Book Income Statement'!L72)</f>
        <v>21250.681268352131</v>
      </c>
      <c r="M6" s="515">
        <f>IF(M3&gt;'Project Assumptions'!$I$15,0,'Book Income Statement'!M72)</f>
        <v>23013.379022331817</v>
      </c>
      <c r="N6" s="515">
        <f>IF(N3&gt;'Project Assumptions'!$I$15,0,'Book Income Statement'!N72)</f>
        <v>24270.054392306156</v>
      </c>
      <c r="O6" s="515">
        <f>IF(O3&gt;'Project Assumptions'!$I$15,0,'Book Income Statement'!O72)</f>
        <v>25534.884763776881</v>
      </c>
      <c r="P6" s="515">
        <f>IF(P3&gt;'Project Assumptions'!$I$15,0,'Book Income Statement'!P72)</f>
        <v>26101.149023808081</v>
      </c>
      <c r="Q6" s="515">
        <f>IF(Q3&gt;'Project Assumptions'!$I$15,0,'Book Income Statement'!Q72)</f>
        <v>26652.115797906878</v>
      </c>
      <c r="R6" s="515">
        <f>IF(R3&gt;'Project Assumptions'!$I$15,0,'Book Income Statement'!R72)</f>
        <v>27186.617550181687</v>
      </c>
      <c r="S6" s="515">
        <f>IF(S3&gt;'Project Assumptions'!$I$15,0,'Book Income Statement'!S72)</f>
        <v>27703.430460324751</v>
      </c>
      <c r="T6" s="515">
        <f>IF(T3&gt;'Project Assumptions'!$I$15,0,'Book Income Statement'!T72)</f>
        <v>28201.272097329456</v>
      </c>
      <c r="U6" s="515">
        <f>IF(U3&gt;'Project Assumptions'!$I$15,0,'Book Income Statement'!U72)</f>
        <v>28967.633558022848</v>
      </c>
      <c r="V6" s="515">
        <f>IF(V3&gt;'Project Assumptions'!$I$15,0,'Book Income Statement'!V72)</f>
        <v>29827.807119985475</v>
      </c>
      <c r="W6" s="515">
        <f>IF(W3&gt;'Project Assumptions'!$I$15,0,'Book Income Statement'!W72)</f>
        <v>30838.086567633141</v>
      </c>
      <c r="X6" s="515">
        <f>IF(X3&gt;'Project Assumptions'!$I$15+1,0,'Book Income Statement'!X72)</f>
        <v>8394.9863650228526</v>
      </c>
      <c r="Y6" s="515">
        <f>IF(Y3&gt;'Project Assumptions'!$I$15,0,'Book Income Statement'!Y72)</f>
        <v>0</v>
      </c>
      <c r="Z6" s="515">
        <f>IF(Z3&gt;'Project Assumptions'!$I$15,0,'Book Income Statement'!Z72)</f>
        <v>0</v>
      </c>
      <c r="AA6" s="515">
        <f>IF(AA3&gt;'Project Assumptions'!$I$15,0,'Book Income Statement'!AA72)</f>
        <v>0</v>
      </c>
      <c r="AB6" s="516">
        <f>IF(AB3&gt;'Project Assumptions'!$I$15,0,'Book Income Statement'!AB72)</f>
        <v>0</v>
      </c>
      <c r="AC6" s="295"/>
      <c r="AD6" s="12"/>
    </row>
    <row r="7" spans="1:54" ht="12.6" customHeight="1">
      <c r="A7" s="517" t="s">
        <v>25</v>
      </c>
      <c r="B7" s="253"/>
      <c r="C7" s="514">
        <f>SUM(D7:AD7)</f>
        <v>108211.90941749999</v>
      </c>
      <c r="D7" s="284">
        <f>IF(D3&gt;'Project Assumptions'!$I$15,0,'Book Income Statement'!D65)</f>
        <v>3246.9725341666667</v>
      </c>
      <c r="E7" s="284">
        <f>IF(E3&gt;'Project Assumptions'!$I$15,0,'Book Income Statement'!E65)</f>
        <v>5566.2386299999998</v>
      </c>
      <c r="F7" s="284">
        <f>IF(F3&gt;'Project Assumptions'!$I$15,0,'Book Income Statement'!F65)</f>
        <v>5566.2386299999998</v>
      </c>
      <c r="G7" s="284">
        <f>IF(G3&gt;'Project Assumptions'!$I$15,0,'Book Income Statement'!G65)</f>
        <v>5566.2386299999998</v>
      </c>
      <c r="H7" s="284">
        <f>IF(H3&gt;'Project Assumptions'!$I$15,0,'Book Income Statement'!H65)</f>
        <v>5566.2386299999998</v>
      </c>
      <c r="I7" s="284">
        <f>IF(I3&gt;'Project Assumptions'!$I$15,0,'Book Income Statement'!I65)</f>
        <v>5328.1699133333332</v>
      </c>
      <c r="J7" s="284">
        <f>IF(J3&gt;'Project Assumptions'!$I$15,0,'Book Income Statement'!J65)</f>
        <v>5158.1208299999998</v>
      </c>
      <c r="K7" s="284">
        <f>IF(K3&gt;'Project Assumptions'!$I$15,0,'Book Income Statement'!K65)</f>
        <v>5158.1208299999998</v>
      </c>
      <c r="L7" s="284">
        <f>IF(L3&gt;'Project Assumptions'!$I$15,0,'Book Income Statement'!L65)</f>
        <v>5158.1208299999998</v>
      </c>
      <c r="M7" s="284">
        <f>IF(M3&gt;'Project Assumptions'!$I$15,0,'Book Income Statement'!M65)</f>
        <v>5158.1208299999998</v>
      </c>
      <c r="N7" s="284">
        <f>IF(N3&gt;'Project Assumptions'!$I$15,0,'Book Income Statement'!N65)</f>
        <v>5158.1208299999998</v>
      </c>
      <c r="O7" s="284">
        <f>IF(O3&gt;'Project Assumptions'!$I$15,0,'Book Income Statement'!O65)</f>
        <v>5158.1208299999998</v>
      </c>
      <c r="P7" s="284">
        <f>IF(P3&gt;'Project Assumptions'!$I$15,0,'Book Income Statement'!P65)</f>
        <v>5158.1208299999998</v>
      </c>
      <c r="Q7" s="284">
        <f>IF(Q3&gt;'Project Assumptions'!$I$15,0,'Book Income Statement'!Q65)</f>
        <v>5158.1208299999998</v>
      </c>
      <c r="R7" s="284">
        <f>IF(R3&gt;'Project Assumptions'!$I$15,0,'Book Income Statement'!R65)</f>
        <v>5158.1208299999998</v>
      </c>
      <c r="S7" s="284">
        <f>IF(S3&gt;'Project Assumptions'!$I$15,0,'Book Income Statement'!S65)</f>
        <v>5158.1208299999998</v>
      </c>
      <c r="T7" s="284">
        <f>IF(T3&gt;'Project Assumptions'!$I$15,0,'Book Income Statement'!T65)</f>
        <v>5158.1208299999998</v>
      </c>
      <c r="U7" s="284">
        <f>IF(U3&gt;'Project Assumptions'!$I$15,0,'Book Income Statement'!U65)</f>
        <v>5158.1208299999998</v>
      </c>
      <c r="V7" s="284">
        <f>IF(V3&gt;'Project Assumptions'!$I$15,0,'Book Income Statement'!V65)</f>
        <v>5158.1208299999998</v>
      </c>
      <c r="W7" s="284">
        <f>IF(W3&gt;'Project Assumptions'!$I$15,0,'Book Income Statement'!W65)</f>
        <v>5158.1208299999998</v>
      </c>
      <c r="X7" s="284">
        <f>IF(X3&gt;'Project Assumptions'!$I$15+1,0,'Book Income Statement'!X65)</f>
        <v>5158.1208299999998</v>
      </c>
      <c r="Y7" s="284">
        <f>IF(Y3&gt;'Project Assumptions'!$I$15,0,'Book Income Statement'!Y65)</f>
        <v>0</v>
      </c>
      <c r="Z7" s="284">
        <f>IF(Z3&gt;'Project Assumptions'!$I$15,0,'Book Income Statement'!Z65)</f>
        <v>0</v>
      </c>
      <c r="AA7" s="284">
        <f>IF(AA3&gt;'Project Assumptions'!$I$15,0,'Book Income Statement'!AA65)</f>
        <v>0</v>
      </c>
      <c r="AB7" s="518">
        <f>IF(AB3&gt;'Project Assumptions'!$I$15,0,'Book Income Statement'!AB65)</f>
        <v>0</v>
      </c>
      <c r="AC7" s="295"/>
      <c r="AD7" s="12"/>
      <c r="AF7" s="13"/>
      <c r="AH7" s="13"/>
      <c r="AL7" s="13"/>
      <c r="AU7" s="13"/>
    </row>
    <row r="8" spans="1:54" ht="12.6" customHeight="1">
      <c r="A8" s="517" t="s">
        <v>26</v>
      </c>
      <c r="B8" s="253"/>
      <c r="C8" s="514"/>
      <c r="D8" s="285">
        <f>IF(D3&gt;'Project Assumptions'!$I$15,0,'Book Income Statement'!D53)</f>
        <v>245.60635648000002</v>
      </c>
      <c r="E8" s="285">
        <f>IF(E3&gt;'Project Assumptions'!$I$15,0,'Book Income Statement'!E53)</f>
        <v>245.60635648000002</v>
      </c>
      <c r="F8" s="285">
        <f>IF(F3&gt;'Project Assumptions'!$I$15,0,'Book Income Statement'!F53)</f>
        <v>245.60635648000002</v>
      </c>
      <c r="G8" s="285">
        <f>IF(G3&gt;'Project Assumptions'!$I$15,0,'Book Income Statement'!G53)</f>
        <v>245.60635648000002</v>
      </c>
      <c r="H8" s="285">
        <f>IF(H3&gt;'Project Assumptions'!$I$15,0,'Book Income Statement'!H53)</f>
        <v>245.60635648000002</v>
      </c>
      <c r="I8" s="285">
        <f>IF(I3&gt;'Project Assumptions'!$I$15,0,'Book Income Statement'!I53)</f>
        <v>245.60635648000002</v>
      </c>
      <c r="J8" s="285">
        <f>IF(J3&gt;'Project Assumptions'!$I$15,0,'Book Income Statement'!J53)</f>
        <v>245.60635648000002</v>
      </c>
      <c r="K8" s="285">
        <f>IF(K3&gt;'Project Assumptions'!$I$15,0,'Book Income Statement'!K53)</f>
        <v>245.60635648000002</v>
      </c>
      <c r="L8" s="285">
        <f>IF(L3&gt;'Project Assumptions'!$I$15,0,'Book Income Statement'!L53)</f>
        <v>245.60635648000002</v>
      </c>
      <c r="M8" s="285">
        <f>IF(M3&gt;'Project Assumptions'!$I$15,0,'Book Income Statement'!M53)</f>
        <v>245.60635648000002</v>
      </c>
      <c r="N8" s="285">
        <f>IF(N3&gt;'Project Assumptions'!$I$15,0,'Book Income Statement'!N53)</f>
        <v>245.60635648000002</v>
      </c>
      <c r="O8" s="285">
        <f>IF(O3&gt;'Project Assumptions'!$I$15,0,'Book Income Statement'!O53)</f>
        <v>245.60635648000002</v>
      </c>
      <c r="P8" s="285">
        <f>IF(P3&gt;'Project Assumptions'!$I$15,0,'Book Income Statement'!P53)</f>
        <v>245.60635648000002</v>
      </c>
      <c r="Q8" s="285">
        <f>IF(Q3&gt;'Project Assumptions'!$I$15,0,'Book Income Statement'!Q53)</f>
        <v>245.60635648000002</v>
      </c>
      <c r="R8" s="285">
        <f>IF(R3&gt;'Project Assumptions'!$I$15,0,'Book Income Statement'!R53)</f>
        <v>245.60635648000002</v>
      </c>
      <c r="S8" s="285">
        <f>IF(S3&gt;'Project Assumptions'!$I$15,0,'Book Income Statement'!S53)</f>
        <v>245.60635648000002</v>
      </c>
      <c r="T8" s="285">
        <f>IF(T3&gt;'Project Assumptions'!$I$15,0,'Book Income Statement'!T53)</f>
        <v>245.60635648000002</v>
      </c>
      <c r="U8" s="285">
        <f>IF(U3&gt;'Project Assumptions'!$I$15,0,'Book Income Statement'!U53)</f>
        <v>245.60635648000002</v>
      </c>
      <c r="V8" s="285">
        <f>IF(V3&gt;'Project Assumptions'!$I$15,0,'Book Income Statement'!V53)</f>
        <v>245.60635648000002</v>
      </c>
      <c r="W8" s="285">
        <f>IF(W3&gt;'Project Assumptions'!$I$15,0,'Book Income Statement'!W53)</f>
        <v>245.60635648000002</v>
      </c>
      <c r="X8" s="285">
        <f>IF(X3&gt;'Project Assumptions'!$I$15+1,0,'Book Income Statement'!X53)</f>
        <v>245.60635648000002</v>
      </c>
      <c r="Y8" s="285">
        <f>IF(Y3&gt;'Project Assumptions'!$I$15,0,'Book Income Statement'!Y53)</f>
        <v>0</v>
      </c>
      <c r="Z8" s="285">
        <f>IF(Z3&gt;'Project Assumptions'!$I$15,0,'Book Income Statement'!Z53)</f>
        <v>0</v>
      </c>
      <c r="AA8" s="285">
        <f>IF(AA3&gt;'Project Assumptions'!$I$15,0,'Book Income Statement'!AA53)</f>
        <v>0</v>
      </c>
      <c r="AB8" s="519">
        <f>IF(AB3&gt;'Project Assumptions'!$I$15,0,'Book Income Statement'!AB53)</f>
        <v>0</v>
      </c>
      <c r="AC8" s="295"/>
      <c r="AD8" s="12"/>
      <c r="AF8" s="13"/>
      <c r="AH8" s="13"/>
      <c r="AL8" s="13"/>
      <c r="AU8" s="13"/>
    </row>
    <row r="9" spans="1:54" ht="12.6" customHeight="1">
      <c r="A9" s="517" t="s">
        <v>27</v>
      </c>
      <c r="B9" s="253"/>
      <c r="C9" s="514"/>
      <c r="D9" s="285">
        <f>IF(D3&gt;'Project Assumptions'!$I$15,0,0)</f>
        <v>0</v>
      </c>
      <c r="E9" s="285">
        <f>IF(E3&gt;'Project Assumptions'!$I$15,0,Depreciation!D51)</f>
        <v>245.60635648000002</v>
      </c>
      <c r="F9" s="285">
        <f>IF(F3&gt;'Project Assumptions'!$I$15,0,Depreciation!E51)</f>
        <v>245.60635648000002</v>
      </c>
      <c r="G9" s="285">
        <f>IF(G3&gt;'Project Assumptions'!$I$15,0,Depreciation!F51)</f>
        <v>245.60635648000002</v>
      </c>
      <c r="H9" s="285">
        <f>IF(H3&gt;'Project Assumptions'!$I$15,0,Depreciation!G51)</f>
        <v>245.60635648000002</v>
      </c>
      <c r="I9" s="285">
        <f>IF(I3&gt;'Project Assumptions'!$I$15,0,Depreciation!H51)</f>
        <v>245.60635648000002</v>
      </c>
      <c r="J9" s="285">
        <f>IF(J3&gt;'Project Assumptions'!$I$15,0,Depreciation!I51)</f>
        <v>245.60635648000002</v>
      </c>
      <c r="K9" s="285">
        <f>IF(K3&gt;'Project Assumptions'!$I$15,0,Depreciation!J51)</f>
        <v>245.60635648000002</v>
      </c>
      <c r="L9" s="285">
        <f>IF(L3&gt;'Project Assumptions'!$I$15,0,Depreciation!K51)</f>
        <v>245.60635648000002</v>
      </c>
      <c r="M9" s="285">
        <f>IF(M3&gt;'Project Assumptions'!$I$15,0,Depreciation!L51)</f>
        <v>245.60635648000002</v>
      </c>
      <c r="N9" s="285">
        <f>IF(N3&gt;'Project Assumptions'!$I$15,0,Depreciation!M51)</f>
        <v>245.60635648000002</v>
      </c>
      <c r="O9" s="285">
        <f>IF(O3&gt;'Project Assumptions'!$I$15,0,Depreciation!N51)</f>
        <v>245.60635648000002</v>
      </c>
      <c r="P9" s="285">
        <f>IF(P3&gt;'Project Assumptions'!$I$15,0,Depreciation!O51)</f>
        <v>245.60635648000002</v>
      </c>
      <c r="Q9" s="285">
        <f>IF(Q3&gt;'Project Assumptions'!$I$15,0,Depreciation!P51)</f>
        <v>245.60635648000002</v>
      </c>
      <c r="R9" s="285">
        <f>IF(R3&gt;'Project Assumptions'!$I$15,0,Depreciation!Q51)</f>
        <v>245.60635648000002</v>
      </c>
      <c r="S9" s="285">
        <f>IF(S3&gt;'Project Assumptions'!$I$15,0,Depreciation!R51)</f>
        <v>245.60635648000002</v>
      </c>
      <c r="T9" s="285">
        <f>IF(T3&gt;'Project Assumptions'!$I$15,0,Depreciation!S51)</f>
        <v>245.60635648000002</v>
      </c>
      <c r="U9" s="285">
        <f>IF(U3&gt;'Project Assumptions'!$I$15,0,Depreciation!T51)</f>
        <v>245.60635648000002</v>
      </c>
      <c r="V9" s="285">
        <f>IF(V3&gt;'Project Assumptions'!$I$15,0,Depreciation!U51)</f>
        <v>245.60635648000002</v>
      </c>
      <c r="W9" s="285">
        <f>IF(W3&gt;'Project Assumptions'!$I$15,0,Depreciation!V51)</f>
        <v>245.60635648000002</v>
      </c>
      <c r="X9" s="285">
        <f>IF(X3&gt;'Project Assumptions'!$I$15+1,0,Depreciation!W51)</f>
        <v>245.60635648000002</v>
      </c>
      <c r="Y9" s="285">
        <f>IF(Y3&gt;'Project Assumptions'!$I$15,0,Depreciation!X51)</f>
        <v>0</v>
      </c>
      <c r="Z9" s="285">
        <f>IF(Z3&gt;'Project Assumptions'!$I$15,0,Depreciation!Y51)</f>
        <v>0</v>
      </c>
      <c r="AA9" s="285">
        <f>IF(AA3&gt;'Project Assumptions'!$I$15,0,Depreciation!Z51)</f>
        <v>0</v>
      </c>
      <c r="AB9" s="519">
        <f>IF(AB3&gt;'Project Assumptions'!$I$15,0,Depreciation!AA51)</f>
        <v>0</v>
      </c>
      <c r="AC9" s="295"/>
      <c r="AD9" s="12"/>
      <c r="AF9" s="13"/>
      <c r="AP9" s="14"/>
      <c r="AQ9" s="14"/>
      <c r="AR9" s="14"/>
      <c r="AS9" s="14"/>
      <c r="AU9" s="13"/>
    </row>
    <row r="10" spans="1:54" ht="12.6" customHeight="1">
      <c r="A10" s="517" t="s">
        <v>28</v>
      </c>
      <c r="B10" s="253"/>
      <c r="C10" s="514">
        <f>SUM(D10:AD10)</f>
        <v>114547.31404657981</v>
      </c>
      <c r="D10" s="288">
        <f>IF(D3&gt;'Project Assumptions'!$I$15,0,'Book Income Statement'!D69)</f>
        <v>10153.804410566998</v>
      </c>
      <c r="E10" s="288">
        <f>IF(E3&gt;'Project Assumptions'!$I$15,0,'Book Income Statement'!E69)</f>
        <v>9802.0137062519971</v>
      </c>
      <c r="F10" s="288">
        <f>IF(F3&gt;'Project Assumptions'!$I$15,0,'Book Income Statement'!F69)</f>
        <v>9450.2230019369981</v>
      </c>
      <c r="G10" s="288">
        <f>IF(G3&gt;'Project Assumptions'!$I$15,0,'Book Income Statement'!G69)</f>
        <v>8949.9347716927477</v>
      </c>
      <c r="H10" s="288">
        <f>IF(H3&gt;'Project Assumptions'!$I$15,0,'Book Income Statement'!H69)</f>
        <v>8301.1490155192478</v>
      </c>
      <c r="I10" s="288">
        <f>IF(I3&gt;'Project Assumptions'!$I$15,0,'Book Income Statement'!I69)</f>
        <v>7888.6201421663091</v>
      </c>
      <c r="J10" s="288">
        <f>IF(J3&gt;'Project Assumptions'!$I$15,0,'Book Income Statement'!J69)</f>
        <v>7476.0912688133703</v>
      </c>
      <c r="K10" s="288">
        <f>IF(K3&gt;'Project Assumptions'!$I$15,0,'Book Income Statement'!K69)</f>
        <v>7005.7954847132096</v>
      </c>
      <c r="L10" s="288">
        <f>IF(L3&gt;'Project Assumptions'!$I$15,0,'Book Income Statement'!L69)</f>
        <v>6535.4997006130498</v>
      </c>
      <c r="M10" s="288">
        <f>IF(M3&gt;'Project Assumptions'!$I$15,0,'Book Income Statement'!M69)</f>
        <v>5768.2088646543889</v>
      </c>
      <c r="N10" s="288">
        <f>IF(N3&gt;'Project Assumptions'!$I$15,0,'Book Income Statement'!N69)</f>
        <v>4794.6535920192591</v>
      </c>
      <c r="O10" s="288">
        <f>IF(O3&gt;'Project Assumptions'!$I$15,0,'Book Income Statement'!O69)</f>
        <v>4563.5859490303792</v>
      </c>
      <c r="P10" s="288">
        <f>IF(P3&gt;'Project Assumptions'!$I$15,0,'Book Income Statement'!P69)</f>
        <v>4274.75139529428</v>
      </c>
      <c r="Q10" s="288">
        <f>IF(Q3&gt;'Project Assumptions'!$I$15,0,'Book Income Statement'!Q69)</f>
        <v>3985.9168415581798</v>
      </c>
      <c r="R10" s="288">
        <f>IF(R3&gt;'Project Assumptions'!$I$15,0,'Book Income Statement'!R69)</f>
        <v>3697.0822878220802</v>
      </c>
      <c r="S10" s="288">
        <f>IF(S3&gt;'Project Assumptions'!$I$15,0,'Book Income Statement'!S69)</f>
        <v>3408.2477340859805</v>
      </c>
      <c r="T10" s="288">
        <f>IF(T3&gt;'Project Assumptions'!$I$15,0,'Book Income Statement'!T69)</f>
        <v>3119.4131803498808</v>
      </c>
      <c r="U10" s="288">
        <f>IF(U3&gt;'Project Assumptions'!$I$15,0,'Book Income Statement'!U69)</f>
        <v>2541.7440728776805</v>
      </c>
      <c r="V10" s="288">
        <f>IF(V3&gt;'Project Assumptions'!$I$15,0,'Book Income Statement'!V69)</f>
        <v>1848.541143911041</v>
      </c>
      <c r="W10" s="288">
        <f>IF(W3&gt;'Project Assumptions'!$I$15,0,'Book Income Statement'!W69)</f>
        <v>982.03748270274116</v>
      </c>
      <c r="X10" s="288">
        <f>IF(X3&gt;'Project Assumptions'!$I$15+1,0,'Book Income Statement'!X69)</f>
        <v>1.3391399988904595E-12</v>
      </c>
      <c r="Y10" s="288">
        <f>IF(Y3&gt;'Project Assumptions'!$I$15,0,'Book Income Statement'!Y69)</f>
        <v>0</v>
      </c>
      <c r="Z10" s="288">
        <f>IF(Z3&gt;'Project Assumptions'!$I$15,0,'Book Income Statement'!Z69)</f>
        <v>0</v>
      </c>
      <c r="AA10" s="288">
        <f>IF(AA3&gt;'Project Assumptions'!$I$15,0,'Book Income Statement'!AA69)</f>
        <v>0</v>
      </c>
      <c r="AB10" s="520">
        <f>IF(AB3&gt;'Project Assumptions'!$I$15,0,'Book Income Statement'!AB69)</f>
        <v>0</v>
      </c>
      <c r="AC10" s="295"/>
      <c r="AD10" s="12"/>
      <c r="AF10" s="13"/>
      <c r="AU10" s="13"/>
    </row>
    <row r="11" spans="1:54" ht="12.6" customHeight="1">
      <c r="A11" s="517"/>
      <c r="B11" s="253"/>
      <c r="C11" s="514"/>
      <c r="D11" s="288"/>
      <c r="E11" s="288"/>
      <c r="F11" s="288"/>
      <c r="G11" s="288"/>
      <c r="H11" s="288"/>
      <c r="I11" s="288"/>
      <c r="J11" s="288"/>
      <c r="K11" s="288"/>
      <c r="L11" s="288"/>
      <c r="M11" s="288"/>
      <c r="N11" s="288"/>
      <c r="O11" s="288"/>
      <c r="P11" s="288"/>
      <c r="Q11" s="288"/>
      <c r="R11" s="288"/>
      <c r="S11" s="288"/>
      <c r="T11" s="288"/>
      <c r="U11" s="288"/>
      <c r="V11" s="288"/>
      <c r="W11" s="288"/>
      <c r="X11" s="288"/>
      <c r="Y11" s="288"/>
      <c r="Z11" s="288"/>
      <c r="AA11" s="288"/>
      <c r="AB11" s="520"/>
      <c r="AC11" s="275"/>
      <c r="AD11" s="28"/>
      <c r="AE11" s="28"/>
      <c r="AF11" s="28"/>
      <c r="AU11" s="13"/>
    </row>
    <row r="12" spans="1:54" ht="12.6" customHeight="1">
      <c r="A12" s="517" t="s">
        <v>29</v>
      </c>
      <c r="B12" s="253"/>
      <c r="C12" s="514">
        <f>SUM(D12:AD12)</f>
        <v>114547.31404657981</v>
      </c>
      <c r="D12" s="288">
        <f>IF(D3&gt;'Project Assumptions'!$I$15+1,0,'Debt Amortization'!E$52)</f>
        <v>10153.804410566998</v>
      </c>
      <c r="E12" s="288">
        <f>IF(E3&gt;'Project Assumptions'!$I$15+1,0,'Debt Amortization'!F$52)</f>
        <v>9802.0137062519971</v>
      </c>
      <c r="F12" s="288">
        <f>IF(F3&gt;'Project Assumptions'!$I$15+1,0,'Debt Amortization'!G$52)</f>
        <v>9450.2230019369981</v>
      </c>
      <c r="G12" s="288">
        <f>IF(G3&gt;'Project Assumptions'!$I$15+1,0,'Debt Amortization'!H$52)</f>
        <v>8949.9347716927477</v>
      </c>
      <c r="H12" s="288">
        <f>IF(H3&gt;'Project Assumptions'!$I$15+1,0,'Debt Amortization'!I$52)</f>
        <v>8301.1490155192478</v>
      </c>
      <c r="I12" s="288">
        <f>IF(I3&gt;'Project Assumptions'!$I$15+1,0,'Debt Amortization'!J$52)</f>
        <v>7888.6201421663091</v>
      </c>
      <c r="J12" s="288">
        <f>IF(J3&gt;'Project Assumptions'!$I$15+1,0,'Debt Amortization'!K$52)</f>
        <v>7476.0912688133703</v>
      </c>
      <c r="K12" s="288">
        <f>IF(K3&gt;'Project Assumptions'!$I$15+1,0,'Debt Amortization'!L$52)</f>
        <v>7005.7954847132096</v>
      </c>
      <c r="L12" s="288">
        <f>IF(L3&gt;'Project Assumptions'!$I$15+1,0,'Debt Amortization'!M$52)</f>
        <v>6535.4997006130498</v>
      </c>
      <c r="M12" s="288">
        <f>IF(M3&gt;'Project Assumptions'!$I$15+1,0,'Debt Amortization'!N$52)</f>
        <v>5768.2088646543889</v>
      </c>
      <c r="N12" s="288">
        <f>IF(N3&gt;'Project Assumptions'!$I$15+1,0,'Debt Amortization'!O$52)</f>
        <v>4794.6535920192591</v>
      </c>
      <c r="O12" s="288">
        <f>IF(O3&gt;'Project Assumptions'!$I$15+1,0,'Debt Amortization'!P$52)</f>
        <v>4563.5859490303792</v>
      </c>
      <c r="P12" s="288">
        <f>IF(P3&gt;'Project Assumptions'!$I$15+1,0,'Debt Amortization'!Q$52)</f>
        <v>4274.75139529428</v>
      </c>
      <c r="Q12" s="288">
        <f>IF(Q3&gt;'Project Assumptions'!$I$15+1,0,'Debt Amortization'!R$52)</f>
        <v>3985.9168415581798</v>
      </c>
      <c r="R12" s="288">
        <f>IF(R3&gt;'Project Assumptions'!$I$15+1,0,'Debt Amortization'!S$52)</f>
        <v>3697.0822878220802</v>
      </c>
      <c r="S12" s="288">
        <f>IF(S3&gt;'Project Assumptions'!$I$15+1,0,'Debt Amortization'!T$52)</f>
        <v>3408.2477340859805</v>
      </c>
      <c r="T12" s="288">
        <f>IF(T3&gt;'Project Assumptions'!$I$15+1,0,'Debt Amortization'!U$52)</f>
        <v>3119.4131803498808</v>
      </c>
      <c r="U12" s="288">
        <f>IF(U3&gt;'Project Assumptions'!$I$15+1,0,'Debt Amortization'!V$52)</f>
        <v>2541.7440728776805</v>
      </c>
      <c r="V12" s="288">
        <f>IF(V3&gt;'Project Assumptions'!$I$15+1,0,'Debt Amortization'!W$52)</f>
        <v>1848.541143911041</v>
      </c>
      <c r="W12" s="288">
        <f>IF(W3&gt;'Project Assumptions'!$I$15+1,0,'Debt Amortization'!X$52)</f>
        <v>982.03748270274116</v>
      </c>
      <c r="X12" s="288">
        <f>IF(X3&gt;'Project Assumptions'!$I$15+1,0,'Debt Amortization'!Y$52)</f>
        <v>1.3391399988904595E-12</v>
      </c>
      <c r="Y12" s="288">
        <f>IF(Y3&gt;'Project Assumptions'!$I$15+1,0,'Debt Amortization'!Z$52)</f>
        <v>0</v>
      </c>
      <c r="Z12" s="288">
        <f>IF(Z3&gt;'Project Assumptions'!$I$15+1,0,'Debt Amortization'!AA$52)</f>
        <v>0</v>
      </c>
      <c r="AA12" s="288">
        <f>IF(AA3&gt;'Project Assumptions'!$I$15+1,0,'Debt Amortization'!AB$52)</f>
        <v>0</v>
      </c>
      <c r="AB12" s="288">
        <f>IF(AB3&gt;'Project Assumptions'!$I$15+1,0,'Debt Amortization'!AC$52)</f>
        <v>0</v>
      </c>
      <c r="AC12" s="295"/>
      <c r="AD12" s="12"/>
      <c r="AF12" s="13"/>
      <c r="AP12" s="14"/>
      <c r="AQ12" s="14"/>
      <c r="AR12" s="14"/>
      <c r="AS12" s="14"/>
      <c r="AU12" s="13"/>
    </row>
    <row r="13" spans="1:54" ht="12.6" customHeight="1">
      <c r="A13" s="511" t="s">
        <v>30</v>
      </c>
      <c r="B13" s="253"/>
      <c r="C13" s="515">
        <f>SUM(D13:AB13)</f>
        <v>130777.21349999995</v>
      </c>
      <c r="D13" s="521">
        <f>IF(D3&gt;'Project Assumptions'!$I$15,0,'Debt Amortization'!E$53)</f>
        <v>5231.0885399999997</v>
      </c>
      <c r="E13" s="521">
        <f>IF(E3&gt;'Project Assumptions'!$I$15,0,'Debt Amortization'!F$53)</f>
        <v>5231.0885399999997</v>
      </c>
      <c r="F13" s="521">
        <f>IF(F3&gt;'Project Assumptions'!$I$15,0,'Debt Amortization'!G$53)</f>
        <v>7192.7467424999995</v>
      </c>
      <c r="G13" s="521">
        <f>IF(G3&gt;'Project Assumptions'!$I$15,0,'Debt Amortization'!H$53)</f>
        <v>9154.4049449999984</v>
      </c>
      <c r="H13" s="521">
        <f>IF(H3&gt;'Project Assumptions'!$I$15,0,'Debt Amortization'!I$53)</f>
        <v>5335.7103107999992</v>
      </c>
      <c r="I13" s="521">
        <f>IF(I3&gt;'Project Assumptions'!$I$15,0,'Debt Amortization'!J$53)</f>
        <v>5335.7103107999992</v>
      </c>
      <c r="J13" s="521">
        <f>IF(J3&gt;'Project Assumptions'!$I$15,0,'Debt Amortization'!K$53)</f>
        <v>6041.907263699999</v>
      </c>
      <c r="K13" s="521">
        <f>IF(K3&gt;'Project Assumptions'!$I$15,0,'Debt Amortization'!L$53)</f>
        <v>6041.907263699999</v>
      </c>
      <c r="L13" s="521">
        <f>IF(L3&gt;'Project Assumptions'!$I$15,0,'Debt Amortization'!M$53)</f>
        <v>9965.2236686999986</v>
      </c>
      <c r="M13" s="521">
        <f>IF(M3&gt;'Project Assumptions'!$I$15,0,'Debt Amortization'!N$53)</f>
        <v>12633.078824099997</v>
      </c>
      <c r="N13" s="521">
        <f>IF(N3&gt;'Project Assumptions'!$I$15,0,'Debt Amortization'!O$53)</f>
        <v>2824.7878115999997</v>
      </c>
      <c r="O13" s="521">
        <f>IF(O3&gt;'Project Assumptions'!$I$15,0,'Debt Amortization'!P$53)</f>
        <v>3530.9847644999995</v>
      </c>
      <c r="P13" s="521">
        <f>IF(P3&gt;'Project Assumptions'!$I$15,0,'Debt Amortization'!Q$53)</f>
        <v>3530.9847644999995</v>
      </c>
      <c r="Q13" s="521">
        <f>IF(Q3&gt;'Project Assumptions'!$I$15,0,'Debt Amortization'!R$53)</f>
        <v>3530.9847644999995</v>
      </c>
      <c r="R13" s="521">
        <f>IF(R3&gt;'Project Assumptions'!$I$15,0,'Debt Amortization'!S$53)</f>
        <v>3530.9847644999995</v>
      </c>
      <c r="S13" s="521">
        <f>IF(S3&gt;'Project Assumptions'!$I$15,0,'Debt Amortization'!T$53)</f>
        <v>3530.9847644999995</v>
      </c>
      <c r="T13" s="521">
        <f>IF(T3&gt;'Project Assumptions'!$I$15,0,'Debt Amortization'!U$53)</f>
        <v>7061.9695289999991</v>
      </c>
      <c r="U13" s="521">
        <f>IF(U3&gt;'Project Assumptions'!$I$15,0,'Debt Amortization'!V$53)</f>
        <v>8474.3634347999978</v>
      </c>
      <c r="V13" s="521">
        <f>IF(V3&gt;'Project Assumptions'!$I$15,0,'Debt Amortization'!W$53)</f>
        <v>10592.954293499997</v>
      </c>
      <c r="W13" s="521">
        <f>IF(W3&gt;'Project Assumptions'!$I$15,0,'Debt Amortization'!X$53)</f>
        <v>12005.348199299999</v>
      </c>
      <c r="X13" s="521">
        <f>IF(X3&gt;'Project Assumptions'!$I$15+1,0,'Debt Amortization'!Y$53)</f>
        <v>0</v>
      </c>
      <c r="Y13" s="521">
        <f>IF(Y3&gt;'Project Assumptions'!$I$15,0,'Debt Amortization'!Z$53)</f>
        <v>0</v>
      </c>
      <c r="Z13" s="521">
        <f>IF(Z3&gt;'Project Assumptions'!$I$15,0,'Debt Amortization'!AA$53)</f>
        <v>0</v>
      </c>
      <c r="AA13" s="521">
        <f>IF(AA3&gt;'Project Assumptions'!$I$15,0,'Debt Amortization'!AB$53)</f>
        <v>0</v>
      </c>
      <c r="AB13" s="522">
        <f>IF(AB3&gt;'Project Assumptions'!$I$15,0,'Debt Amortization'!AC$53)</f>
        <v>0</v>
      </c>
      <c r="AF13" s="13"/>
      <c r="AU13" s="13"/>
    </row>
    <row r="14" spans="1:54" ht="12.6" customHeight="1">
      <c r="A14" s="523" t="s">
        <v>135</v>
      </c>
      <c r="B14" s="253"/>
      <c r="C14" s="515"/>
      <c r="D14" s="288">
        <f>IF(D3&gt;'Project Assumptions'!$I$15,0,D6+D7+D8-D9+D10+D11-D12-D13)</f>
        <v>-2251.1902156847636</v>
      </c>
      <c r="E14" s="288">
        <f>IF(E3&gt;'Project Assumptions'!$I$15,0,E6+E7+E8-E9+E10+E11-E12-E13)</f>
        <v>7264.0896239149524</v>
      </c>
      <c r="F14" s="288">
        <f>IF(F3&gt;'Project Assumptions'!$I$15,0,F6+F7+F8-F9+F10+F11-F12-F13)</f>
        <v>5587.0181749130334</v>
      </c>
      <c r="G14" s="288">
        <f>IF(G3&gt;'Project Assumptions'!$I$15,0,G6+G7+G8-G9+G10+G11-G12-G13)</f>
        <v>9092.514268850904</v>
      </c>
      <c r="H14" s="288">
        <f>IF(H3&gt;'Project Assumptions'!$I$15,0,H6+H7+H8-H9+H10+H11-H12-H13)</f>
        <v>17472.031389271702</v>
      </c>
      <c r="I14" s="288">
        <f>IF(I3&gt;'Project Assumptions'!$I$15,0,I6+I7+I8-I9+I10+I11-I12-I13)</f>
        <v>18184.720577077576</v>
      </c>
      <c r="J14" s="288">
        <f>IF(J3&gt;'Project Assumptions'!$I$15,0,J6+J7+J8-J9+J10+J11-J12-J13)</f>
        <v>18181.01209328504</v>
      </c>
      <c r="K14" s="288">
        <f>IF(K3&gt;'Project Assumptions'!$I$15,0,K6+K7+K8-K9+K10+K11-K12-K13)</f>
        <v>19609.356060211234</v>
      </c>
      <c r="L14" s="288">
        <f>IF(L3&gt;'Project Assumptions'!$I$15,0,L6+L7+L8-L9+L10+L11-L12-L13)</f>
        <v>16443.578429652131</v>
      </c>
      <c r="M14" s="288">
        <f>IF(M3&gt;'Project Assumptions'!$I$15,0,M6+M7+M8-M9+M10+M11-M12-M13)</f>
        <v>15538.42102823182</v>
      </c>
      <c r="N14" s="288">
        <f>IF(N3&gt;'Project Assumptions'!$I$15,0,N6+N7+N8-N9+N10+N11-N12-N13)</f>
        <v>26603.38741070616</v>
      </c>
      <c r="O14" s="288">
        <f>IF(O3&gt;'Project Assumptions'!$I$15,0,O6+O7+O8-O9+O10+O11-O12-O13)</f>
        <v>27162.020829276884</v>
      </c>
      <c r="P14" s="288">
        <f>IF(P3&gt;'Project Assumptions'!$I$15,0,P6+P7+P8-P9+P10+P11-P12-P13)</f>
        <v>27728.285089308083</v>
      </c>
      <c r="Q14" s="288">
        <f>IF(Q3&gt;'Project Assumptions'!$I$15,0,Q6+Q7+Q8-Q9+Q10+Q11-Q12-Q13)</f>
        <v>28279.251863406873</v>
      </c>
      <c r="R14" s="288">
        <f>IF(R3&gt;'Project Assumptions'!$I$15,0,R6+R7+R8-R9+R10+R11-R12-R13)</f>
        <v>28813.75361568169</v>
      </c>
      <c r="S14" s="288">
        <f>IF(S3&gt;'Project Assumptions'!$I$15,0,S6+S7+S8-S9+S10+S11-S12-S13)</f>
        <v>29330.566525824757</v>
      </c>
      <c r="T14" s="288">
        <f>IF(T3&gt;'Project Assumptions'!$I$15,0,T6+T7+T8-T9+T10+T11-T12-T13)</f>
        <v>26297.423398329458</v>
      </c>
      <c r="U14" s="288">
        <f>IF(U3&gt;'Project Assumptions'!$I$15,0,U6+U7+U8-U9+U10+U11-U12-U13)</f>
        <v>25651.39095322285</v>
      </c>
      <c r="V14" s="288">
        <f>IF(V3&gt;'Project Assumptions'!$I$15,0,V6+V7+V8-V9+V10+V11-V12-V13)</f>
        <v>24392.973656485476</v>
      </c>
      <c r="W14" s="288">
        <f>IF(W3&gt;'Project Assumptions'!$I$15,0,W6+W7+W8-W9+W10+W11-W12-W13)</f>
        <v>23990.859198333146</v>
      </c>
      <c r="X14" s="288">
        <f>IF(X3&gt;'Project Assumptions'!$I$15+1,0,X6+X7+X8-X9+X10+X11-X12-X13)</f>
        <v>13553.107195022852</v>
      </c>
      <c r="Y14" s="288">
        <f>IF(Y3&gt;'Project Assumptions'!$I$15,0,Y6+Y7+Y8-Y9+Y10+Y11-Y12-Y13)</f>
        <v>0</v>
      </c>
      <c r="Z14" s="288">
        <f>IF(Z3&gt;'Project Assumptions'!$I$15,0,Z6+Z7+Z8-Z9+Z10+Z11-Z12-Z13)</f>
        <v>0</v>
      </c>
      <c r="AA14" s="288">
        <f>IF(AA3&gt;'Project Assumptions'!$I$15,0,AA6+AA7+AA8-AA9+AA10+AA11-AA12-AA13)</f>
        <v>0</v>
      </c>
      <c r="AB14" s="520">
        <f>IF(AB3&gt;'Project Assumptions'!$I$15,0,AB6+AB7+AB8-AB9+AB10+AB11-AB12-AB13)</f>
        <v>0</v>
      </c>
      <c r="AC14"/>
      <c r="AD14"/>
      <c r="AE14"/>
      <c r="AF14"/>
      <c r="AG14"/>
      <c r="AU14" s="13"/>
    </row>
    <row r="15" spans="1:54" ht="12.6" customHeight="1">
      <c r="A15" s="511"/>
      <c r="B15" s="253"/>
      <c r="C15" s="515"/>
      <c r="D15" s="288"/>
      <c r="E15" s="288"/>
      <c r="F15" s="288"/>
      <c r="G15" s="288"/>
      <c r="H15" s="288"/>
      <c r="I15" s="288"/>
      <c r="J15" s="288"/>
      <c r="K15" s="288"/>
      <c r="L15" s="288"/>
      <c r="M15" s="288"/>
      <c r="N15" s="288"/>
      <c r="O15" s="288"/>
      <c r="P15" s="288"/>
      <c r="Q15" s="288"/>
      <c r="R15" s="288"/>
      <c r="S15" s="288"/>
      <c r="T15" s="288"/>
      <c r="U15" s="288"/>
      <c r="V15" s="288"/>
      <c r="W15" s="288"/>
      <c r="X15" s="288"/>
      <c r="Y15" s="288"/>
      <c r="Z15" s="288"/>
      <c r="AA15" s="288"/>
      <c r="AB15" s="520"/>
      <c r="AF15" s="13"/>
      <c r="AU15" s="13"/>
    </row>
    <row r="16" spans="1:54" ht="12.6" customHeight="1">
      <c r="A16" s="511" t="s">
        <v>134</v>
      </c>
      <c r="B16" s="253"/>
      <c r="C16" s="515"/>
      <c r="D16" s="288">
        <v>0</v>
      </c>
      <c r="E16" s="288">
        <v>0</v>
      </c>
      <c r="F16" s="288">
        <v>0</v>
      </c>
      <c r="G16" s="288">
        <v>0</v>
      </c>
      <c r="H16" s="288">
        <v>0</v>
      </c>
      <c r="I16" s="288">
        <v>0</v>
      </c>
      <c r="J16" s="288">
        <v>0</v>
      </c>
      <c r="K16" s="288">
        <v>0</v>
      </c>
      <c r="L16" s="288">
        <v>0</v>
      </c>
      <c r="M16" s="288">
        <v>0</v>
      </c>
      <c r="N16" s="288">
        <v>0</v>
      </c>
      <c r="O16" s="288">
        <v>0</v>
      </c>
      <c r="P16" s="288">
        <v>0</v>
      </c>
      <c r="Q16" s="288">
        <v>0</v>
      </c>
      <c r="R16" s="288">
        <v>0</v>
      </c>
      <c r="S16" s="288">
        <v>0</v>
      </c>
      <c r="T16" s="288">
        <v>0</v>
      </c>
      <c r="U16" s="288">
        <v>0</v>
      </c>
      <c r="V16" s="288">
        <v>0</v>
      </c>
      <c r="W16" s="288">
        <v>0</v>
      </c>
      <c r="X16" s="288">
        <v>0</v>
      </c>
      <c r="Y16" s="288">
        <v>0</v>
      </c>
      <c r="Z16" s="288">
        <v>0</v>
      </c>
      <c r="AA16" s="288">
        <v>0</v>
      </c>
      <c r="AB16" s="288">
        <v>0</v>
      </c>
      <c r="AF16" s="13"/>
      <c r="AU16" s="13"/>
    </row>
    <row r="17" spans="1:47" s="15" customFormat="1" ht="12.6" customHeight="1">
      <c r="A17" s="511" t="s">
        <v>136</v>
      </c>
      <c r="B17" s="253"/>
      <c r="C17" s="514">
        <f>SUM(D17:AD17)</f>
        <v>0</v>
      </c>
      <c r="D17" s="288">
        <v>0</v>
      </c>
      <c r="E17" s="288">
        <v>0</v>
      </c>
      <c r="F17" s="288">
        <v>0</v>
      </c>
      <c r="G17" s="288">
        <v>0</v>
      </c>
      <c r="H17" s="288">
        <v>0</v>
      </c>
      <c r="I17" s="288">
        <v>0</v>
      </c>
      <c r="J17" s="288">
        <v>0</v>
      </c>
      <c r="K17" s="288">
        <v>0</v>
      </c>
      <c r="L17" s="288">
        <v>0</v>
      </c>
      <c r="M17" s="288">
        <v>0</v>
      </c>
      <c r="N17" s="288">
        <v>0</v>
      </c>
      <c r="O17" s="288">
        <v>0</v>
      </c>
      <c r="P17" s="288">
        <v>0</v>
      </c>
      <c r="Q17" s="288">
        <v>0</v>
      </c>
      <c r="R17" s="288">
        <v>0</v>
      </c>
      <c r="S17" s="288">
        <v>0</v>
      </c>
      <c r="T17" s="288">
        <v>0</v>
      </c>
      <c r="U17" s="288">
        <v>0</v>
      </c>
      <c r="V17" s="288">
        <v>0</v>
      </c>
      <c r="W17" s="288">
        <v>0</v>
      </c>
      <c r="X17" s="288">
        <v>0</v>
      </c>
      <c r="Y17" s="288">
        <v>0</v>
      </c>
      <c r="Z17" s="288">
        <v>0</v>
      </c>
      <c r="AA17" s="288">
        <v>0</v>
      </c>
      <c r="AB17" s="288">
        <v>0</v>
      </c>
      <c r="AC17" s="253"/>
      <c r="AF17" s="16"/>
      <c r="AU17" s="16"/>
    </row>
    <row r="18" spans="1:47" s="15" customFormat="1" ht="12.6" customHeight="1">
      <c r="A18" s="511" t="s">
        <v>137</v>
      </c>
      <c r="B18" s="253"/>
      <c r="C18" s="514"/>
      <c r="D18" s="288">
        <v>0</v>
      </c>
      <c r="E18" s="288">
        <v>0</v>
      </c>
      <c r="F18" s="288">
        <v>0</v>
      </c>
      <c r="G18" s="288">
        <v>0</v>
      </c>
      <c r="H18" s="288">
        <v>0</v>
      </c>
      <c r="I18" s="288">
        <v>0</v>
      </c>
      <c r="J18" s="288">
        <v>0</v>
      </c>
      <c r="K18" s="288">
        <v>0</v>
      </c>
      <c r="L18" s="288">
        <v>0</v>
      </c>
      <c r="M18" s="288">
        <v>0</v>
      </c>
      <c r="N18" s="288">
        <v>0</v>
      </c>
      <c r="O18" s="288">
        <v>0</v>
      </c>
      <c r="P18" s="288">
        <v>0</v>
      </c>
      <c r="Q18" s="288">
        <v>0</v>
      </c>
      <c r="R18" s="288">
        <v>0</v>
      </c>
      <c r="S18" s="288">
        <v>0</v>
      </c>
      <c r="T18" s="288">
        <v>0</v>
      </c>
      <c r="U18" s="288">
        <v>0</v>
      </c>
      <c r="V18" s="288">
        <v>0</v>
      </c>
      <c r="W18" s="288">
        <v>0</v>
      </c>
      <c r="X18" s="288">
        <v>0</v>
      </c>
      <c r="Y18" s="288">
        <v>0</v>
      </c>
      <c r="Z18" s="288">
        <v>0</v>
      </c>
      <c r="AA18" s="288">
        <v>0</v>
      </c>
      <c r="AB18" s="520">
        <v>0</v>
      </c>
      <c r="AC18" s="253"/>
      <c r="AF18" s="16"/>
      <c r="AU18" s="16"/>
    </row>
    <row r="19" spans="1:47" ht="12.6" customHeight="1">
      <c r="A19" s="511"/>
      <c r="B19" s="253"/>
      <c r="C19" s="514"/>
      <c r="D19" s="298"/>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524"/>
      <c r="AF19" s="13"/>
      <c r="AU19" s="13"/>
    </row>
    <row r="20" spans="1:47" ht="12.6" customHeight="1">
      <c r="A20" s="513" t="s">
        <v>31</v>
      </c>
      <c r="B20" s="525"/>
      <c r="C20" s="299">
        <f>SUM(C6:C13)</f>
        <v>897328.01990200125</v>
      </c>
      <c r="D20" s="284">
        <f>IF(D3&gt;'Project Assumptions'!$I$15,0,D6+D7+D8-D9+D10+D11-D12-D13-D17-D18-D16)</f>
        <v>-2251.1902156847636</v>
      </c>
      <c r="E20" s="284">
        <f>IF(E3&gt;'Project Assumptions'!$I$15,0,E6+E7+E8-E9+E10+E11-E12-E13-E17-E18-E16)</f>
        <v>7264.0896239149524</v>
      </c>
      <c r="F20" s="284">
        <f>IF(F3&gt;'Project Assumptions'!$I$15,0,F6+F7+F8-F9+F10+F11-F12-F13-F17-F18-F16)</f>
        <v>5587.0181749130334</v>
      </c>
      <c r="G20" s="284">
        <f>IF(G3&gt;'Project Assumptions'!$I$15,0,G6+G7+G8-G9+G10+G11-G12-G13-G17-G18-G16)</f>
        <v>9092.514268850904</v>
      </c>
      <c r="H20" s="284">
        <f>IF(H3&gt;'Project Assumptions'!$I$15,0,H6+H7+H8-H9+H10+H11-H12-H13-H17-H18-H16)</f>
        <v>17472.031389271702</v>
      </c>
      <c r="I20" s="284">
        <f>IF(I3&gt;'Project Assumptions'!$I$15,0,I6+I7+I8-I9+I10+I11-I12-I13-I17-I18-I16)</f>
        <v>18184.720577077576</v>
      </c>
      <c r="J20" s="284">
        <f>IF(J3&gt;'Project Assumptions'!$I$15,0,J6+J7+J8-J9+J10+J11-J12-J13-J17-J18-J16)</f>
        <v>18181.01209328504</v>
      </c>
      <c r="K20" s="284">
        <f>IF(K3&gt;'Project Assumptions'!$I$15,0,K6+K7+K8-K9+K10+K11-K12-K13-K17-K18-K16)</f>
        <v>19609.356060211234</v>
      </c>
      <c r="L20" s="284">
        <f>IF(L3&gt;'Project Assumptions'!$I$15,0,L6+L7+L8-L9+L10+L11-L12-L13-L17-L18-L16)</f>
        <v>16443.578429652131</v>
      </c>
      <c r="M20" s="284">
        <f>IF(M3&gt;'Project Assumptions'!$I$15,0,M6+M7+M8-M9+M10+M11-M12-M13-M17-M18-M16)</f>
        <v>15538.42102823182</v>
      </c>
      <c r="N20" s="284">
        <f>IF(N3&gt;'Project Assumptions'!$I$15,0,N6+N7+N8-N9+N10+N11-N12-N13-N17-N18-N16)</f>
        <v>26603.38741070616</v>
      </c>
      <c r="O20" s="284">
        <f>IF(O3&gt;'Project Assumptions'!$I$15,0,O6+O7+O8-O9+O10+O11-O12-O13-O17-O18-O16)</f>
        <v>27162.020829276884</v>
      </c>
      <c r="P20" s="284">
        <f>IF(P3&gt;'Project Assumptions'!$I$15,0,P6+P7+P8-P9+P10+P11-P12-P13-P17-P18-P16)</f>
        <v>27728.285089308083</v>
      </c>
      <c r="Q20" s="284">
        <f>IF(Q3&gt;'Project Assumptions'!$I$15,0,Q6+Q7+Q8-Q9+Q10+Q11-Q12-Q13-Q17-Q18-Q16)</f>
        <v>28279.251863406873</v>
      </c>
      <c r="R20" s="284">
        <f>IF(R3&gt;'Project Assumptions'!$I$15,0,R6+R7+R8-R9+R10+R11-R12-R13-R17-R18-R16)</f>
        <v>28813.75361568169</v>
      </c>
      <c r="S20" s="284">
        <f>IF(S3&gt;'Project Assumptions'!$I$15,0,S6+S7+S8-S9+S10+S11-S12-S13-S17-S18-S16)</f>
        <v>29330.566525824757</v>
      </c>
      <c r="T20" s="284">
        <f>IF(T3&gt;'Project Assumptions'!$I$15,0,T6+T7+T8-T9+T10+T11-T12-T13-T17-T18-T16)</f>
        <v>26297.423398329458</v>
      </c>
      <c r="U20" s="284">
        <f>IF(U3&gt;'Project Assumptions'!$I$15,0,U6+U7+U8-U9+U10+U11-U12-U13-U17-U18-U16)</f>
        <v>25651.39095322285</v>
      </c>
      <c r="V20" s="284">
        <f>IF(V3&gt;'Project Assumptions'!$I$15,0,V6+V7+V8-V9+V10+V11-V12-V13-V17-V18-V16)</f>
        <v>24392.973656485476</v>
      </c>
      <c r="W20" s="284">
        <f>IF(W3&gt;'Project Assumptions'!$I$15,0,W6+W7+W8-W9+W10+W11-W12-W13-W17-W18-W16)</f>
        <v>23990.859198333146</v>
      </c>
      <c r="X20" s="284">
        <f>IF(X3&gt;'Project Assumptions'!$I$15+1,0,X6+X7+X8-X9+X10+X11-X12-X13-X17-X18-X16)</f>
        <v>13553.107195022852</v>
      </c>
      <c r="Y20" s="284">
        <f>IF(Y3&gt;'Project Assumptions'!$I$15,0,Y6+Y7+Y8-Y9+Y10+Y11-Y12-Y13-Y17-Y18-Y16)</f>
        <v>0</v>
      </c>
      <c r="Z20" s="284">
        <f>IF(Z3&gt;'Project Assumptions'!$I$15,0,Z6+Z7+Z8-Z9+Z10+Z11-Z12-Z13-Z17-Z18-Z16)</f>
        <v>0</v>
      </c>
      <c r="AA20" s="284">
        <f>IF(AA3&gt;'Project Assumptions'!$I$15,0,AA6+AA7+AA8-AA9+AA10+AA11-AA12-AA13-AA17-AA18-AA16)</f>
        <v>0</v>
      </c>
      <c r="AB20" s="518">
        <f>IF(AB3&gt;'Project Assumptions'!$I$15,0,AB6+AB7+AB8-AB9+AB10+AB11-AB12-AB13-AB17-AB18-AB16)</f>
        <v>0</v>
      </c>
      <c r="AC20" s="295"/>
      <c r="AD20" s="12"/>
      <c r="AF20" s="13"/>
      <c r="AP20" s="14"/>
      <c r="AQ20" s="14"/>
      <c r="AR20" s="14"/>
      <c r="AS20" s="14"/>
      <c r="AU20" s="13"/>
    </row>
    <row r="21" spans="1:47" s="17" customFormat="1" ht="12.6" customHeight="1">
      <c r="A21" s="511" t="s">
        <v>138</v>
      </c>
      <c r="B21" s="296"/>
      <c r="C21" s="526"/>
      <c r="D21" s="300">
        <f>IF(D3&gt;'Project Assumptions'!$I$15,0,'Tax Calculations'!D51+'Tax Calculations'!D33)</f>
        <v>0</v>
      </c>
      <c r="E21" s="300">
        <f>IF(E3&gt;'Project Assumptions'!$I$15,0,'Tax Calculations'!E51+'Tax Calculations'!E33)</f>
        <v>0</v>
      </c>
      <c r="F21" s="300">
        <f>IF(F3&gt;'Project Assumptions'!$I$15,0,'Tax Calculations'!F51+'Tax Calculations'!F33)</f>
        <v>0</v>
      </c>
      <c r="G21" s="300">
        <f>IF(G3&gt;'Project Assumptions'!$I$15,0,'Tax Calculations'!G51+'Tax Calculations'!G33)</f>
        <v>0</v>
      </c>
      <c r="H21" s="300">
        <f>IF(H3&gt;'Project Assumptions'!$I$15,0,'Tax Calculations'!H51+'Tax Calculations'!H33)</f>
        <v>971.67004292603656</v>
      </c>
      <c r="I21" s="300">
        <f>IF(I3&gt;'Project Assumptions'!$I$15,0,'Tax Calculations'!I51+'Tax Calculations'!I33)</f>
        <v>5101.2889159743336</v>
      </c>
      <c r="J21" s="300">
        <f>IF(J3&gt;'Project Assumptions'!$I$15,0,'Tax Calculations'!J51+'Tax Calculations'!J33)</f>
        <v>5682.4810027792118</v>
      </c>
      <c r="K21" s="300">
        <f>IF(K3&gt;'Project Assumptions'!$I$15,0,'Tax Calculations'!K51+'Tax Calculations'!K33)</f>
        <v>6252.0565146964345</v>
      </c>
      <c r="L21" s="300">
        <f>IF(L3&gt;'Project Assumptions'!$I$15,0,'Tax Calculations'!L51+'Tax Calculations'!L33)</f>
        <v>6564.7579242635047</v>
      </c>
      <c r="M21" s="300">
        <f>IF(M3&gt;'Project Assumptions'!$I$15,0,'Tax Calculations'!M51+'Tax Calculations'!M33)</f>
        <v>7269.2869834801932</v>
      </c>
      <c r="N21" s="300">
        <f>IF(N3&gt;'Project Assumptions'!$I$15,0,'Tax Calculations'!N51+'Tax Calculations'!N33)</f>
        <v>7783.4524014194485</v>
      </c>
      <c r="O21" s="300">
        <f>IF(O3&gt;'Project Assumptions'!$I$15,0,'Tax Calculations'!O51+'Tax Calculations'!O33)</f>
        <v>8287.0297383709567</v>
      </c>
      <c r="P21" s="300">
        <f>IF(P3&gt;'Project Assumptions'!$I$15,0,'Tax Calculations'!P51+'Tax Calculations'!P33)</f>
        <v>8522.5279720594117</v>
      </c>
      <c r="Q21" s="300">
        <f>IF(Q3&gt;'Project Assumptions'!$I$15,0,'Tax Calculations'!Q51+'Tax Calculations'!Q33)</f>
        <v>8737.9721145216772</v>
      </c>
      <c r="R21" s="300">
        <f>IF(R3&gt;'Project Assumptions'!$I$15,0,'Tax Calculations'!R51+'Tax Calculations'!R33)</f>
        <v>8960.6502060169587</v>
      </c>
      <c r="S21" s="300">
        <f>IF(S3&gt;'Project Assumptions'!$I$15,0,'Tax Calculations'!S51+'Tax Calculations'!S33)</f>
        <v>11216.49622821539</v>
      </c>
      <c r="T21" s="300">
        <f>IF(T3&gt;'Project Assumptions'!$I$15,0,'Tax Calculations'!T51+'Tax Calculations'!T33)</f>
        <v>13464.684970293352</v>
      </c>
      <c r="U21" s="300">
        <f>IF(U3&gt;'Project Assumptions'!$I$15,0,'Tax Calculations'!U51+'Tax Calculations'!U33)</f>
        <v>13774.007614865723</v>
      </c>
      <c r="V21" s="300">
        <f>IF(V3&gt;'Project Assumptions'!$I$15,0,'Tax Calculations'!V51+'Tax Calculations'!V33)</f>
        <v>14121.195168812887</v>
      </c>
      <c r="W21" s="300">
        <f>IF(W3&gt;'Project Assumptions'!$I$15,0,'Tax Calculations'!W51+'Tax Calculations'!W33)</f>
        <v>14528.969210869676</v>
      </c>
      <c r="X21" s="300">
        <f>IF(X3&gt;'Project Assumptions'!$I$15+1,0,'Tax Calculations'!X51+'Tax Calculations'!X33)</f>
        <v>5470.3728915910988</v>
      </c>
      <c r="Y21" s="300">
        <f>IF(Y3&gt;'Project Assumptions'!$I$15,0,'Tax Calculations'!Y51+'Tax Calculations'!Y33)</f>
        <v>0</v>
      </c>
      <c r="Z21" s="300">
        <f>IF(Z3&gt;'Project Assumptions'!$I$15,0,'Tax Calculations'!Z51+'Tax Calculations'!Z33)</f>
        <v>0</v>
      </c>
      <c r="AA21" s="300">
        <f>IF(AA3&gt;'Project Assumptions'!$I$15,0,'Tax Calculations'!AA51+'Tax Calculations'!AA33)</f>
        <v>0</v>
      </c>
      <c r="AB21" s="527">
        <f>IF(AB3&gt;'Project Assumptions'!$I$15,0,'Tax Calculations'!AB51+'Tax Calculations'!AB33)</f>
        <v>0</v>
      </c>
      <c r="AC21" s="285"/>
      <c r="AD21" s="19"/>
      <c r="AF21" s="18"/>
      <c r="AP21" s="18"/>
      <c r="AQ21" s="18"/>
      <c r="AR21" s="18"/>
      <c r="AS21" s="18"/>
      <c r="AU21" s="18"/>
    </row>
    <row r="22" spans="1:47" s="27" customFormat="1" ht="12.6" customHeight="1">
      <c r="A22" s="528" t="s">
        <v>32</v>
      </c>
      <c r="B22" s="529"/>
      <c r="C22" s="530">
        <f>C20-C21</f>
        <v>897328.01990200125</v>
      </c>
      <c r="D22" s="531">
        <f>IF(D3&gt;'Project Assumptions'!$I$15,0,D20-D21)</f>
        <v>-2251.1902156847636</v>
      </c>
      <c r="E22" s="531">
        <f>IF(E3&gt;'Project Assumptions'!$I$15,0,E20-E21)</f>
        <v>7264.0896239149524</v>
      </c>
      <c r="F22" s="531">
        <f>IF(F3&gt;'Project Assumptions'!$I$15,0,F20-F21)</f>
        <v>5587.0181749130334</v>
      </c>
      <c r="G22" s="531">
        <f>IF(G3&gt;'Project Assumptions'!$I$15,0,G20-G21)</f>
        <v>9092.514268850904</v>
      </c>
      <c r="H22" s="531">
        <f>IF(H3&gt;'Project Assumptions'!$I$15,0,H20-H21)</f>
        <v>16500.361346345664</v>
      </c>
      <c r="I22" s="531">
        <f>IF(I3&gt;'Project Assumptions'!$I$15,0,I20-I21)</f>
        <v>13083.431661103243</v>
      </c>
      <c r="J22" s="531">
        <f>IF(J3&gt;'Project Assumptions'!$I$15,0,J20-J21)</f>
        <v>12498.531090505829</v>
      </c>
      <c r="K22" s="531">
        <f>IF(K3&gt;'Project Assumptions'!$I$15,0,K20-K21)</f>
        <v>13357.299545514799</v>
      </c>
      <c r="L22" s="531">
        <f>IF(L3&gt;'Project Assumptions'!$I$15,0,L20-L21)</f>
        <v>9878.8205053886268</v>
      </c>
      <c r="M22" s="531">
        <f>IF(M3&gt;'Project Assumptions'!$I$15,0,M20-M21)</f>
        <v>8269.1340447516268</v>
      </c>
      <c r="N22" s="531">
        <f>IF(N3&gt;'Project Assumptions'!$I$15,0,N20-N21)</f>
        <v>18819.93500928671</v>
      </c>
      <c r="O22" s="531">
        <f>IF(O3&gt;'Project Assumptions'!$I$15,0,O20-O21)</f>
        <v>18874.991090905925</v>
      </c>
      <c r="P22" s="531">
        <f>IF(P3&gt;'Project Assumptions'!$I$15,0,P20-P21)</f>
        <v>19205.757117248671</v>
      </c>
      <c r="Q22" s="531">
        <f>IF(Q3&gt;'Project Assumptions'!$I$15,0,Q20-Q21)</f>
        <v>19541.279748885194</v>
      </c>
      <c r="R22" s="531">
        <f>IF(R3&gt;'Project Assumptions'!$I$15,0,R20-R21)</f>
        <v>19853.103409664731</v>
      </c>
      <c r="S22" s="531">
        <f>IF(S3&gt;'Project Assumptions'!$I$15,0,S20-S21)</f>
        <v>18114.070297609367</v>
      </c>
      <c r="T22" s="531">
        <f>IF(T3&gt;'Project Assumptions'!$I$15,0,T20-T21)</f>
        <v>12832.738428036106</v>
      </c>
      <c r="U22" s="531">
        <f>IF(U3&gt;'Project Assumptions'!$I$15,0,U20-U21)</f>
        <v>11877.383338357127</v>
      </c>
      <c r="V22" s="531">
        <f>IF(V3&gt;'Project Assumptions'!$I$15,0,V20-V21)</f>
        <v>10271.778487672589</v>
      </c>
      <c r="W22" s="531">
        <f>IF(W3&gt;'Project Assumptions'!$I$15,0,W20-W21)</f>
        <v>9461.8899874634699</v>
      </c>
      <c r="X22" s="531">
        <f>IF(X3&gt;'Project Assumptions'!$I$15+1,0,X20-X21)</f>
        <v>8082.7343034317537</v>
      </c>
      <c r="Y22" s="531">
        <f>IF(Y3&gt;'Project Assumptions'!$I$15,0,Y20-Y21)</f>
        <v>0</v>
      </c>
      <c r="Z22" s="531">
        <f>IF(Z3&gt;'Project Assumptions'!$I$15,0,Z20-Z21)</f>
        <v>0</v>
      </c>
      <c r="AA22" s="531">
        <f>IF(AA3&gt;'Project Assumptions'!$I$15,0,AA20-AA21)</f>
        <v>0</v>
      </c>
      <c r="AB22" s="532">
        <f>IF(AB3&gt;'Project Assumptions'!$I$15,0,AB20-AB21)</f>
        <v>0</v>
      </c>
      <c r="AC22" s="282"/>
      <c r="AD22" s="29"/>
      <c r="AF22" s="30"/>
      <c r="AU22" s="30"/>
    </row>
    <row r="23" spans="1:47" s="17" customFormat="1" ht="12.6" customHeight="1">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96"/>
      <c r="AD23" s="31"/>
    </row>
    <row r="25" spans="1:47" ht="12.6" customHeight="1">
      <c r="A25" s="533" t="s">
        <v>214</v>
      </c>
      <c r="B25" s="534"/>
      <c r="C25" s="534"/>
      <c r="D25" s="535"/>
      <c r="E25" s="534"/>
      <c r="F25" s="534"/>
      <c r="G25" s="534"/>
      <c r="H25" s="534"/>
      <c r="I25" s="534"/>
      <c r="J25" s="534"/>
      <c r="K25" s="534"/>
      <c r="L25" s="534"/>
      <c r="M25" s="534"/>
      <c r="N25" s="534"/>
      <c r="O25" s="534"/>
      <c r="P25" s="534"/>
      <c r="Q25" s="534"/>
      <c r="R25" s="534"/>
      <c r="S25" s="534"/>
      <c r="T25" s="534"/>
      <c r="U25" s="534"/>
      <c r="V25" s="534"/>
      <c r="W25" s="534"/>
      <c r="X25" s="534"/>
      <c r="Y25" s="534"/>
      <c r="Z25" s="534"/>
      <c r="AA25" s="534"/>
      <c r="AB25" s="507"/>
    </row>
    <row r="26" spans="1:47" ht="12.6" customHeight="1">
      <c r="A26" s="511"/>
      <c r="B26" s="465"/>
      <c r="C26" s="253"/>
      <c r="D26" s="536"/>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524"/>
    </row>
    <row r="27" spans="1:47" ht="12.6" customHeight="1">
      <c r="A27" s="511" t="s">
        <v>219</v>
      </c>
      <c r="B27" s="465"/>
      <c r="C27" s="253"/>
      <c r="D27" s="537">
        <f>+IF(OR(AND(D3&gt;'Project Assumptions'!$I$51,D30=0), 'Project Assumptions'!$I$51=0), 0, IF(D22&gt;0, D22, 0))</f>
        <v>0</v>
      </c>
      <c r="E27" s="537">
        <f>+IF(OR(AND(E3&gt;'Project Assumptions'!$I$51,E30=0), 'Project Assumptions'!$I$51=0), 0, IF(E22&gt;0, E22, 0))</f>
        <v>0</v>
      </c>
      <c r="F27" s="537">
        <f>+IF(OR(AND(F3&gt;'Project Assumptions'!$I$51,F30=0), 'Project Assumptions'!$I$51=0), 0, IF(F22&gt;0, F22, 0))</f>
        <v>0</v>
      </c>
      <c r="G27" s="537">
        <f>+IF(OR(AND(G3&gt;'Project Assumptions'!$I$51,G30=0), 'Project Assumptions'!$I$51=0), 0, IF(G22&gt;0, G22, 0))</f>
        <v>0</v>
      </c>
      <c r="H27" s="537">
        <f>+IF(OR(AND(H3&gt;'Project Assumptions'!$I$51,H30=0), 'Project Assumptions'!$I$51=0), 0, IF(H22&gt;0, H22, 0))</f>
        <v>0</v>
      </c>
      <c r="I27" s="537">
        <f>+IF(OR(AND(I3&gt;'Project Assumptions'!$I$51,I30=0), 'Project Assumptions'!$I$51=0), 0, IF(I22&gt;0, I22, 0))</f>
        <v>0</v>
      </c>
      <c r="J27" s="537">
        <f>+IF(OR(AND(J3&gt;'Project Assumptions'!$I$51,J30=0), 'Project Assumptions'!$I$51=0), 0, IF(J22&gt;0, J22, 0))</f>
        <v>0</v>
      </c>
      <c r="K27" s="537">
        <f>+IF(OR(AND(K3&gt;'Project Assumptions'!$I$51,K30=0), 'Project Assumptions'!$I$51=0), 0, IF(K22&gt;0, K22, 0))</f>
        <v>0</v>
      </c>
      <c r="L27" s="537">
        <f>+IF(OR(AND(L3&gt;'Project Assumptions'!$I$51,L30=0), 'Project Assumptions'!$I$51=0), 0, IF(L22&gt;0, L22, 0))</f>
        <v>0</v>
      </c>
      <c r="M27" s="537">
        <f>+IF(OR(AND(M3&gt;'Project Assumptions'!$I$51,M30=0), 'Project Assumptions'!$I$51=0), 0, IF(M22&gt;0, M22, 0))</f>
        <v>0</v>
      </c>
      <c r="N27" s="537">
        <f>+IF(OR(AND(N3&gt;'Project Assumptions'!$I$51,N30=0), 'Project Assumptions'!$I$51=0), 0, IF(N22&gt;0, N22, 0))</f>
        <v>0</v>
      </c>
      <c r="O27" s="537">
        <f>+IF(OR(AND(O3&gt;'Project Assumptions'!$I$51,O30=0), 'Project Assumptions'!$I$51=0), 0, IF(O22&gt;0, O22, 0))</f>
        <v>0</v>
      </c>
      <c r="P27" s="537">
        <f>+IF(OR(AND(P3&gt;'Project Assumptions'!$I$51,P30=0), 'Project Assumptions'!$I$51=0), 0, IF(P22&gt;0, P22, 0))</f>
        <v>0</v>
      </c>
      <c r="Q27" s="537">
        <f>+IF(OR(AND(Q3&gt;'Project Assumptions'!$I$51,Q30=0), 'Project Assumptions'!$I$51=0), 0, IF(Q22&gt;0, Q22, 0))</f>
        <v>0</v>
      </c>
      <c r="R27" s="537">
        <f>+IF(OR(AND(R3&gt;'Project Assumptions'!$I$51,R30=0), 'Project Assumptions'!$I$51=0), 0, IF(R22&gt;0, R22, 0))</f>
        <v>0</v>
      </c>
      <c r="S27" s="537">
        <f>+IF(OR(AND(S3&gt;'Project Assumptions'!$I$51,S30=0), 'Project Assumptions'!$I$51=0), 0, IF(S22&gt;0, S22, 0))</f>
        <v>0</v>
      </c>
      <c r="T27" s="537">
        <f>+IF(OR(AND(T3&gt;'Project Assumptions'!$I$51,T30=0), 'Project Assumptions'!$I$51=0), 0, IF(T22&gt;0, T22, 0))</f>
        <v>0</v>
      </c>
      <c r="U27" s="537">
        <f>+IF(OR(AND(U3&gt;'Project Assumptions'!$I$51,U30=0), 'Project Assumptions'!$I$51=0), 0, IF(U22&gt;0, U22, 0))</f>
        <v>0</v>
      </c>
      <c r="V27" s="537">
        <f>+IF(OR(AND(V3&gt;'Project Assumptions'!$I$51,V30=0), 'Project Assumptions'!$I$51=0), 0, IF(V22&gt;0, V22, 0))</f>
        <v>0</v>
      </c>
      <c r="W27" s="537">
        <f>+IF(OR(AND(W3&gt;'Project Assumptions'!$I$51,W30=0), 'Project Assumptions'!$I$51=0), 0, IF(W22&gt;0, W22, 0))</f>
        <v>0</v>
      </c>
      <c r="X27" s="537">
        <f>+IF(OR(AND(X3&gt;'Project Assumptions'!$I$51,X30=0), 'Project Assumptions'!$I$51=0), 0, IF(X22&gt;0, X22, 0))</f>
        <v>0</v>
      </c>
      <c r="Y27" s="537">
        <f>+IF(OR(AND(Y3&gt;'Project Assumptions'!$I$51,Y30=0), 'Project Assumptions'!$I$51=0), 0, IF(Y22&gt;0, Y22, 0))</f>
        <v>0</v>
      </c>
      <c r="Z27" s="537">
        <f>+IF(OR(AND(Z3&gt;'Project Assumptions'!$I$51,Z30=0), 'Project Assumptions'!$I$51=0), 0, IF(Z22&gt;0, Z22, 0))</f>
        <v>0</v>
      </c>
      <c r="AA27" s="537">
        <f>+IF(OR(AND(AA3&gt;'Project Assumptions'!$I$51,AA30=0), 'Project Assumptions'!$I$51=0), 0, IF(AA22&gt;0, AA22, 0))</f>
        <v>0</v>
      </c>
      <c r="AB27" s="538">
        <f>+IF(OR(AND(AB3&gt;'Project Assumptions'!$I$51,AB30=0), 'Project Assumptions'!$I$51=0), 0, IF(AB22&gt;0, AB22, 0))</f>
        <v>0</v>
      </c>
    </row>
    <row r="28" spans="1:47" ht="12.6" customHeight="1">
      <c r="A28" s="511" t="s">
        <v>98</v>
      </c>
      <c r="B28" s="539"/>
      <c r="C28" s="253"/>
      <c r="D28" s="290">
        <f>IF('Project Assumptions'!$I$51=0, 0, +'Project Assumptions'!$I$53)</f>
        <v>0</v>
      </c>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524"/>
    </row>
    <row r="29" spans="1:47" ht="12.6" customHeight="1">
      <c r="A29" s="511" t="s">
        <v>216</v>
      </c>
      <c r="B29" s="465"/>
      <c r="C29" s="253"/>
      <c r="D29" s="284">
        <f>D28*'Project Assumptions'!$I$52</f>
        <v>0</v>
      </c>
      <c r="E29" s="284">
        <f>+D32*'Project Assumptions'!$I$52</f>
        <v>0</v>
      </c>
      <c r="F29" s="284">
        <f>+E32*'Project Assumptions'!$I$52</f>
        <v>0</v>
      </c>
      <c r="G29" s="284">
        <f>+F32*'Project Assumptions'!$I$52</f>
        <v>0</v>
      </c>
      <c r="H29" s="284">
        <f>+G32*'Project Assumptions'!$I$52</f>
        <v>0</v>
      </c>
      <c r="I29" s="284">
        <f>+H32*'Project Assumptions'!$I$52</f>
        <v>0</v>
      </c>
      <c r="J29" s="284">
        <f>+I32*'Project Assumptions'!$I$52</f>
        <v>0</v>
      </c>
      <c r="K29" s="284">
        <f>+J32*'Project Assumptions'!$I$52</f>
        <v>0</v>
      </c>
      <c r="L29" s="284">
        <f>+K32*'Project Assumptions'!$I$52</f>
        <v>0</v>
      </c>
      <c r="M29" s="284">
        <f>+L32*'Project Assumptions'!$I$52</f>
        <v>0</v>
      </c>
      <c r="N29" s="284">
        <f>+M32*'Project Assumptions'!$I$52</f>
        <v>0</v>
      </c>
      <c r="O29" s="284">
        <f>+N32*'Project Assumptions'!$I$52</f>
        <v>0</v>
      </c>
      <c r="P29" s="284">
        <f>+O32*'Project Assumptions'!$I$52</f>
        <v>0</v>
      </c>
      <c r="Q29" s="284">
        <f>+P32*'Project Assumptions'!$I$52</f>
        <v>0</v>
      </c>
      <c r="R29" s="284">
        <f>+Q32*'Project Assumptions'!$I$52</f>
        <v>0</v>
      </c>
      <c r="S29" s="284">
        <f>+R32*'Project Assumptions'!$I$52</f>
        <v>0</v>
      </c>
      <c r="T29" s="284">
        <f>+S32*'Project Assumptions'!$I$52</f>
        <v>0</v>
      </c>
      <c r="U29" s="284">
        <f>+T32*'Project Assumptions'!$I$52</f>
        <v>0</v>
      </c>
      <c r="V29" s="284">
        <f>+U32*'Project Assumptions'!$I$52</f>
        <v>0</v>
      </c>
      <c r="W29" s="284">
        <f>+V32*'Project Assumptions'!$I$52</f>
        <v>0</v>
      </c>
      <c r="X29" s="284">
        <f>+W32*'Project Assumptions'!$I$52</f>
        <v>0</v>
      </c>
      <c r="Y29" s="284">
        <f>+X32*'Project Assumptions'!$I$52</f>
        <v>0</v>
      </c>
      <c r="Z29" s="284">
        <f>+Y32*'Project Assumptions'!$I$52</f>
        <v>0</v>
      </c>
      <c r="AA29" s="284">
        <f>+Z32*'Project Assumptions'!$I$52</f>
        <v>0</v>
      </c>
      <c r="AB29" s="518">
        <f>+AA32*'Project Assumptions'!$I$52</f>
        <v>0</v>
      </c>
    </row>
    <row r="30" spans="1:47" ht="12.6" customHeight="1">
      <c r="A30" s="511" t="s">
        <v>220</v>
      </c>
      <c r="B30" s="465"/>
      <c r="C30" s="540">
        <v>0</v>
      </c>
      <c r="D30" s="290">
        <f>+C30+D29</f>
        <v>0</v>
      </c>
      <c r="E30" s="541">
        <f>+D30-D31+E29</f>
        <v>0</v>
      </c>
      <c r="F30" s="541">
        <f>+E30-E31+F29</f>
        <v>0</v>
      </c>
      <c r="G30" s="541">
        <f>+F30-F31+G29</f>
        <v>0</v>
      </c>
      <c r="H30" s="541">
        <f t="shared" ref="H30:AB30" si="2">+G30-G31+H29</f>
        <v>0</v>
      </c>
      <c r="I30" s="541">
        <f t="shared" si="2"/>
        <v>0</v>
      </c>
      <c r="J30" s="541">
        <f t="shared" si="2"/>
        <v>0</v>
      </c>
      <c r="K30" s="541">
        <f t="shared" si="2"/>
        <v>0</v>
      </c>
      <c r="L30" s="541">
        <f t="shared" si="2"/>
        <v>0</v>
      </c>
      <c r="M30" s="541">
        <f t="shared" si="2"/>
        <v>0</v>
      </c>
      <c r="N30" s="541">
        <f t="shared" si="2"/>
        <v>0</v>
      </c>
      <c r="O30" s="541">
        <f t="shared" si="2"/>
        <v>0</v>
      </c>
      <c r="P30" s="541">
        <f t="shared" si="2"/>
        <v>0</v>
      </c>
      <c r="Q30" s="541">
        <f t="shared" si="2"/>
        <v>0</v>
      </c>
      <c r="R30" s="541">
        <f t="shared" si="2"/>
        <v>0</v>
      </c>
      <c r="S30" s="541">
        <f t="shared" si="2"/>
        <v>0</v>
      </c>
      <c r="T30" s="541">
        <f t="shared" si="2"/>
        <v>0</v>
      </c>
      <c r="U30" s="541">
        <f t="shared" si="2"/>
        <v>0</v>
      </c>
      <c r="V30" s="541">
        <f t="shared" si="2"/>
        <v>0</v>
      </c>
      <c r="W30" s="541">
        <f t="shared" si="2"/>
        <v>0</v>
      </c>
      <c r="X30" s="541">
        <f t="shared" si="2"/>
        <v>0</v>
      </c>
      <c r="Y30" s="541">
        <f t="shared" si="2"/>
        <v>0</v>
      </c>
      <c r="Z30" s="541">
        <f t="shared" si="2"/>
        <v>0</v>
      </c>
      <c r="AA30" s="541">
        <f t="shared" si="2"/>
        <v>0</v>
      </c>
      <c r="AB30" s="542">
        <f t="shared" si="2"/>
        <v>0</v>
      </c>
    </row>
    <row r="31" spans="1:47" ht="12.6" customHeight="1">
      <c r="A31" s="511" t="s">
        <v>217</v>
      </c>
      <c r="B31" s="253"/>
      <c r="C31" s="253"/>
      <c r="D31" s="296">
        <f>+IF(D27&gt;D30, D30, D27)</f>
        <v>0</v>
      </c>
      <c r="E31" s="296">
        <f>+IF(E27&gt;E30, E30, E27)</f>
        <v>0</v>
      </c>
      <c r="F31" s="296">
        <f>+IF(F27&gt;F30, F30, F27)</f>
        <v>0</v>
      </c>
      <c r="G31" s="296">
        <f>+IF(G27&gt;G30, G30, G27)</f>
        <v>0</v>
      </c>
      <c r="H31" s="296">
        <f t="shared" ref="H31:AB31" si="3">+IF(H27&gt;H30, H30, H27)</f>
        <v>0</v>
      </c>
      <c r="I31" s="296">
        <f t="shared" si="3"/>
        <v>0</v>
      </c>
      <c r="J31" s="296">
        <f t="shared" si="3"/>
        <v>0</v>
      </c>
      <c r="K31" s="296">
        <f t="shared" si="3"/>
        <v>0</v>
      </c>
      <c r="L31" s="296">
        <f t="shared" si="3"/>
        <v>0</v>
      </c>
      <c r="M31" s="296">
        <f t="shared" si="3"/>
        <v>0</v>
      </c>
      <c r="N31" s="296">
        <f t="shared" si="3"/>
        <v>0</v>
      </c>
      <c r="O31" s="296">
        <f t="shared" si="3"/>
        <v>0</v>
      </c>
      <c r="P31" s="296">
        <f t="shared" si="3"/>
        <v>0</v>
      </c>
      <c r="Q31" s="296">
        <f t="shared" si="3"/>
        <v>0</v>
      </c>
      <c r="R31" s="296">
        <f t="shared" si="3"/>
        <v>0</v>
      </c>
      <c r="S31" s="296">
        <f t="shared" si="3"/>
        <v>0</v>
      </c>
      <c r="T31" s="296">
        <f t="shared" si="3"/>
        <v>0</v>
      </c>
      <c r="U31" s="296">
        <f t="shared" si="3"/>
        <v>0</v>
      </c>
      <c r="V31" s="296">
        <f t="shared" si="3"/>
        <v>0</v>
      </c>
      <c r="W31" s="296">
        <f t="shared" si="3"/>
        <v>0</v>
      </c>
      <c r="X31" s="296">
        <f t="shared" si="3"/>
        <v>0</v>
      </c>
      <c r="Y31" s="296">
        <f t="shared" si="3"/>
        <v>0</v>
      </c>
      <c r="Z31" s="296">
        <f t="shared" si="3"/>
        <v>0</v>
      </c>
      <c r="AA31" s="296">
        <f t="shared" si="3"/>
        <v>0</v>
      </c>
      <c r="AB31" s="543">
        <f t="shared" si="3"/>
        <v>0</v>
      </c>
    </row>
    <row r="32" spans="1:47" ht="12.6" customHeight="1">
      <c r="A32" s="511" t="s">
        <v>218</v>
      </c>
      <c r="B32" s="253"/>
      <c r="C32" s="253"/>
      <c r="D32" s="541">
        <f>+IF(D3&lt;'Project Assumptions'!$I$51, 'Project Assumptions'!$I$53, 0)</f>
        <v>0</v>
      </c>
      <c r="E32" s="541">
        <f>+IF(E3&lt;'Project Assumptions'!$I$51, D32, 0)</f>
        <v>0</v>
      </c>
      <c r="F32" s="541">
        <f>+IF(F3&lt;'Project Assumptions'!$I$51, E32, 0)</f>
        <v>0</v>
      </c>
      <c r="G32" s="541">
        <f>+IF(G3&lt;'Project Assumptions'!$I$51, F32, 0)</f>
        <v>0</v>
      </c>
      <c r="H32" s="541">
        <f>+IF(H3&lt;'Project Assumptions'!$I$51, G32, 0)</f>
        <v>0</v>
      </c>
      <c r="I32" s="541">
        <f>+IF(I3&lt;'Project Assumptions'!$I$51, H32, 0)</f>
        <v>0</v>
      </c>
      <c r="J32" s="541">
        <f>+IF(J3&lt;'Project Assumptions'!$I$51, I32, 0)</f>
        <v>0</v>
      </c>
      <c r="K32" s="541">
        <f>+IF(K3&lt;'Project Assumptions'!$I$51, J32, 0)</f>
        <v>0</v>
      </c>
      <c r="L32" s="541">
        <f>+IF(L3&lt;'Project Assumptions'!$I$51, K32, 0)</f>
        <v>0</v>
      </c>
      <c r="M32" s="541">
        <f>+IF(M3&lt;'Project Assumptions'!$I$51, L32, 0)</f>
        <v>0</v>
      </c>
      <c r="N32" s="541">
        <f>+IF(N3&lt;'Project Assumptions'!$I$51, M32, 0)</f>
        <v>0</v>
      </c>
      <c r="O32" s="541">
        <f>+IF(O3&lt;'Project Assumptions'!$I$51, N32, 0)</f>
        <v>0</v>
      </c>
      <c r="P32" s="541">
        <f>+IF(P3&lt;'Project Assumptions'!$I$51, O32, 0)</f>
        <v>0</v>
      </c>
      <c r="Q32" s="541">
        <f>+IF(Q3&lt;'Project Assumptions'!$I$51, P32, 0)</f>
        <v>0</v>
      </c>
      <c r="R32" s="541">
        <f>+IF(R3&lt;'Project Assumptions'!$I$51, Q32, 0)</f>
        <v>0</v>
      </c>
      <c r="S32" s="541">
        <f>+IF(S3&lt;'Project Assumptions'!$I$51, R32, 0)</f>
        <v>0</v>
      </c>
      <c r="T32" s="541">
        <f>+IF(T3&lt;'Project Assumptions'!$I$51, S32, 0)</f>
        <v>0</v>
      </c>
      <c r="U32" s="541">
        <f>+IF(U3&lt;'Project Assumptions'!$I$51, T32, 0)</f>
        <v>0</v>
      </c>
      <c r="V32" s="541">
        <f>+IF(V3&lt;'Project Assumptions'!$I$51, U32, 0)</f>
        <v>0</v>
      </c>
      <c r="W32" s="541">
        <f>+IF(W3&lt;'Project Assumptions'!$I$51, V32, 0)</f>
        <v>0</v>
      </c>
      <c r="X32" s="541">
        <f>+IF(X3&lt;'Project Assumptions'!$I$51, W32, 0)</f>
        <v>0</v>
      </c>
      <c r="Y32" s="541">
        <f>+IF(Y3&lt;'Project Assumptions'!$I$51, X32, 0)</f>
        <v>0</v>
      </c>
      <c r="Z32" s="541">
        <f>+IF(Z3&lt;'Project Assumptions'!$I$51, Y32, 0)</f>
        <v>0</v>
      </c>
      <c r="AA32" s="541">
        <f>+IF(AA3&lt;'Project Assumptions'!$I$51, Z32, 0)</f>
        <v>0</v>
      </c>
      <c r="AB32" s="542">
        <f>+IF(AB3&lt;'Project Assumptions'!$I$51, AA32, 0)</f>
        <v>0</v>
      </c>
    </row>
    <row r="33" spans="1:47" ht="12.6" customHeight="1">
      <c r="A33" s="511"/>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524"/>
    </row>
    <row r="34" spans="1:47" ht="12.6" customHeight="1">
      <c r="A34" s="523" t="s">
        <v>215</v>
      </c>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524"/>
    </row>
    <row r="35" spans="1:47" ht="12.6" customHeight="1">
      <c r="A35" s="511"/>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524"/>
    </row>
    <row r="36" spans="1:47" ht="12.6" customHeight="1">
      <c r="A36" s="544" t="s">
        <v>221</v>
      </c>
      <c r="B36" s="545"/>
      <c r="C36" s="545"/>
      <c r="D36" s="546">
        <f>+D22-D31+(D32-'Project Assumptions'!$I$53)</f>
        <v>-2251.1902156847636</v>
      </c>
      <c r="E36" s="547">
        <f t="shared" ref="E36:AB36" si="4">+E22-E31+(E32-D32)</f>
        <v>7264.0896239149524</v>
      </c>
      <c r="F36" s="547">
        <f t="shared" si="4"/>
        <v>5587.0181749130334</v>
      </c>
      <c r="G36" s="547">
        <f t="shared" si="4"/>
        <v>9092.514268850904</v>
      </c>
      <c r="H36" s="547">
        <f t="shared" si="4"/>
        <v>16500.361346345664</v>
      </c>
      <c r="I36" s="547">
        <f t="shared" si="4"/>
        <v>13083.431661103243</v>
      </c>
      <c r="J36" s="547">
        <f t="shared" si="4"/>
        <v>12498.531090505829</v>
      </c>
      <c r="K36" s="547">
        <f t="shared" si="4"/>
        <v>13357.299545514799</v>
      </c>
      <c r="L36" s="547">
        <f t="shared" si="4"/>
        <v>9878.8205053886268</v>
      </c>
      <c r="M36" s="547">
        <f t="shared" si="4"/>
        <v>8269.1340447516268</v>
      </c>
      <c r="N36" s="547">
        <f t="shared" si="4"/>
        <v>18819.93500928671</v>
      </c>
      <c r="O36" s="547">
        <f t="shared" si="4"/>
        <v>18874.991090905925</v>
      </c>
      <c r="P36" s="547">
        <f t="shared" si="4"/>
        <v>19205.757117248671</v>
      </c>
      <c r="Q36" s="547">
        <f t="shared" si="4"/>
        <v>19541.279748885194</v>
      </c>
      <c r="R36" s="547">
        <f t="shared" si="4"/>
        <v>19853.103409664731</v>
      </c>
      <c r="S36" s="547">
        <f t="shared" si="4"/>
        <v>18114.070297609367</v>
      </c>
      <c r="T36" s="547">
        <f t="shared" si="4"/>
        <v>12832.738428036106</v>
      </c>
      <c r="U36" s="547">
        <f t="shared" si="4"/>
        <v>11877.383338357127</v>
      </c>
      <c r="V36" s="547">
        <f t="shared" si="4"/>
        <v>10271.778487672589</v>
      </c>
      <c r="W36" s="547">
        <f t="shared" si="4"/>
        <v>9461.8899874634699</v>
      </c>
      <c r="X36" s="547">
        <f t="shared" si="4"/>
        <v>8082.7343034317537</v>
      </c>
      <c r="Y36" s="547">
        <f t="shared" si="4"/>
        <v>0</v>
      </c>
      <c r="Z36" s="547">
        <f t="shared" si="4"/>
        <v>0</v>
      </c>
      <c r="AA36" s="547">
        <f t="shared" si="4"/>
        <v>0</v>
      </c>
      <c r="AB36" s="548">
        <f t="shared" si="4"/>
        <v>0</v>
      </c>
    </row>
    <row r="38" spans="1:47" ht="12.6" customHeight="1">
      <c r="D38" s="250">
        <f>D36+D13+D12</f>
        <v>13133.702734882234</v>
      </c>
      <c r="E38" s="250">
        <f>E36+E13+E12</f>
        <v>22297.191870166949</v>
      </c>
      <c r="F38" s="250">
        <f>(F36+F13+F12)*0.2</f>
        <v>4445.9975838700066</v>
      </c>
      <c r="G38" s="250"/>
      <c r="H38" s="250"/>
      <c r="I38" s="250"/>
      <c r="J38" s="250"/>
      <c r="K38" s="250"/>
      <c r="L38" s="250"/>
      <c r="M38" s="250"/>
      <c r="N38" s="250"/>
      <c r="O38" s="250"/>
      <c r="P38" s="250"/>
      <c r="Q38" s="250"/>
      <c r="R38" s="250"/>
      <c r="S38" s="250"/>
      <c r="T38" s="250"/>
      <c r="U38" s="250"/>
      <c r="V38" s="250"/>
      <c r="W38" s="250"/>
      <c r="X38" s="250"/>
      <c r="Y38" s="250"/>
      <c r="Z38" s="250"/>
      <c r="AA38" s="250"/>
      <c r="AB38" s="250"/>
    </row>
    <row r="39" spans="1:47" ht="12.6" customHeight="1">
      <c r="D39" s="302"/>
    </row>
    <row r="42" spans="1:47" ht="12.6" customHeight="1">
      <c r="AF42" s="13"/>
      <c r="AU42" s="13"/>
    </row>
    <row r="43" spans="1:47" customFormat="1" ht="12.6" customHeight="1">
      <c r="A43" s="247"/>
      <c r="B43" s="247"/>
      <c r="C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c r="AA43" s="247"/>
      <c r="AB43" s="247"/>
      <c r="AC43" s="247"/>
    </row>
    <row r="44" spans="1:47" customFormat="1" ht="12.6" customHeight="1">
      <c r="A44" s="247"/>
      <c r="B44" s="247"/>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c r="AB44" s="247"/>
      <c r="AC44" s="247"/>
    </row>
    <row r="45" spans="1:47" customFormat="1" ht="12.6" customHeight="1">
      <c r="A45" s="247"/>
      <c r="B45" s="247"/>
      <c r="C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c r="AA45" s="247"/>
      <c r="AB45" s="247"/>
      <c r="AC45" s="247"/>
    </row>
    <row r="46" spans="1:47" customFormat="1" ht="12.6" customHeight="1">
      <c r="A46" s="247"/>
      <c r="B46" s="247"/>
      <c r="C46" s="247"/>
      <c r="D46" s="247"/>
      <c r="E46" s="247"/>
      <c r="F46" s="247"/>
      <c r="G46" s="247"/>
      <c r="H46" s="247"/>
      <c r="I46" s="247"/>
      <c r="J46" s="247"/>
      <c r="K46" s="247"/>
      <c r="L46" s="247"/>
      <c r="M46" s="247"/>
      <c r="N46" s="247"/>
      <c r="O46" s="247"/>
      <c r="P46" s="247"/>
      <c r="Q46" s="247"/>
      <c r="R46" s="247"/>
      <c r="S46" s="247"/>
      <c r="T46" s="247"/>
      <c r="U46" s="247"/>
      <c r="V46" s="247"/>
      <c r="W46" s="247"/>
      <c r="X46" s="247"/>
      <c r="Y46" s="247"/>
      <c r="Z46" s="247"/>
      <c r="AA46" s="247"/>
      <c r="AB46" s="247"/>
      <c r="AC46" s="247"/>
    </row>
    <row r="47" spans="1:47" customFormat="1" ht="12.6" customHeight="1">
      <c r="A47" s="247"/>
      <c r="B47" s="247"/>
      <c r="C47" s="247"/>
      <c r="D47" s="247"/>
      <c r="E47" s="247"/>
      <c r="F47" s="247"/>
      <c r="G47" s="247"/>
      <c r="H47" s="247"/>
      <c r="I47" s="247"/>
      <c r="J47" s="247"/>
      <c r="K47" s="247"/>
      <c r="L47" s="247"/>
      <c r="M47" s="247"/>
      <c r="N47" s="247"/>
      <c r="O47" s="247"/>
      <c r="P47" s="247"/>
      <c r="Q47" s="247"/>
      <c r="R47" s="247"/>
      <c r="S47" s="247"/>
      <c r="T47" s="247"/>
      <c r="U47" s="247"/>
      <c r="V47" s="247"/>
      <c r="W47" s="247"/>
      <c r="X47" s="247"/>
      <c r="Y47" s="247"/>
      <c r="Z47" s="247"/>
      <c r="AA47" s="247"/>
      <c r="AB47" s="247"/>
      <c r="AC47" s="247"/>
    </row>
    <row r="48" spans="1:47" customFormat="1" ht="12.6" customHeight="1">
      <c r="A48" s="247"/>
      <c r="B48" s="247"/>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row>
    <row r="49" spans="1:29" customFormat="1" ht="12.6" customHeight="1">
      <c r="A49" s="247"/>
      <c r="B49" s="247"/>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row>
    <row r="50" spans="1:29" customFormat="1" ht="12.6" customHeight="1">
      <c r="A50" s="247"/>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row>
    <row r="51" spans="1:29" customFormat="1" ht="12.6" customHeight="1">
      <c r="A51" s="247"/>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c r="AA51" s="247"/>
      <c r="AB51" s="247"/>
      <c r="AC51" s="247"/>
    </row>
    <row r="52" spans="1:29" customFormat="1" ht="12.6" customHeight="1">
      <c r="A52" s="247"/>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c r="AA52" s="247"/>
      <c r="AB52" s="247"/>
      <c r="AC52" s="247"/>
    </row>
  </sheetData>
  <customSheetViews>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1"/>
      <headerFooter alignWithMargins="0">
        <oddFooter>&amp;L&amp;D   &amp;T&amp;RO:\Naes\GenSvcs\TVA\TVA Model\&amp;F
&amp;A &amp;P</oddFooter>
      </headerFooter>
    </customSheetView>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6" orientation="landscape" r:id="rId3"/>
  <headerFooter alignWithMargins="0">
    <oddFooter>&amp;L&amp;D   &amp;T&amp;R&amp;F
&amp;A &amp;P</oddFooter>
  </headerFooter>
  <colBreaks count="1" manualBreakCount="1">
    <brk id="15"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90</vt:i4>
      </vt:variant>
    </vt:vector>
  </HeadingPairs>
  <TitlesOfParts>
    <vt:vector size="104" baseType="lpstr">
      <vt:lpstr>Tracking sheet</vt:lpstr>
      <vt:lpstr>Value</vt:lpstr>
      <vt:lpstr>Project Assumptions</vt:lpstr>
      <vt:lpstr>PPA Assumptions &amp;Summary</vt:lpstr>
      <vt:lpstr>Operations</vt:lpstr>
      <vt:lpstr>Debt Amortization</vt:lpstr>
      <vt:lpstr>Returns Summary</vt:lpstr>
      <vt:lpstr>Book Income Statement</vt:lpstr>
      <vt:lpstr>Cash Flow Statement</vt:lpstr>
      <vt:lpstr>BS</vt:lpstr>
      <vt:lpstr>Tax Calculations</vt:lpstr>
      <vt:lpstr>Depreciation</vt:lpstr>
      <vt:lpstr>Interest During Construction</vt:lpstr>
      <vt:lpstr>Maintenance Reserves</vt:lpstr>
      <vt:lpstr>AnnualHours</vt:lpstr>
      <vt:lpstr>AssessedValueMultiplier</vt:lpstr>
      <vt:lpstr>BI</vt:lpstr>
      <vt:lpstr>BS</vt:lpstr>
      <vt:lpstr>BusnIInsr</vt:lpstr>
      <vt:lpstr>Cap_Factor_Energy</vt:lpstr>
      <vt:lpstr>CF</vt:lpstr>
      <vt:lpstr>CityTaxRate</vt:lpstr>
      <vt:lpstr>CountyMillageTaxRate</vt:lpstr>
      <vt:lpstr>Debt</vt:lpstr>
      <vt:lpstr>DebtTerm</vt:lpstr>
      <vt:lpstr>Deg_Rate</vt:lpstr>
      <vt:lpstr>Deprec</vt:lpstr>
      <vt:lpstr>Ebitda</vt:lpstr>
      <vt:lpstr>Energy_Margin</vt:lpstr>
      <vt:lpstr>Equity_Copy</vt:lpstr>
      <vt:lpstr>Equity_Paste</vt:lpstr>
      <vt:lpstr>FercMWh</vt:lpstr>
      <vt:lpstr>Fixed</vt:lpstr>
      <vt:lpstr>FracYr1</vt:lpstr>
      <vt:lpstr>Fuel_Start</vt:lpstr>
      <vt:lpstr>HeatRate</vt:lpstr>
      <vt:lpstr>idc</vt:lpstr>
      <vt:lpstr>Int1</vt:lpstr>
      <vt:lpstr>Int2</vt:lpstr>
      <vt:lpstr>Int3</vt:lpstr>
      <vt:lpstr>InterestExpense</vt:lpstr>
      <vt:lpstr>ISO_NetMW</vt:lpstr>
      <vt:lpstr>Labor</vt:lpstr>
      <vt:lpstr>LiabInsr</vt:lpstr>
      <vt:lpstr>Loan_Copy</vt:lpstr>
      <vt:lpstr>Loan_Paste</vt:lpstr>
      <vt:lpstr>Loop</vt:lpstr>
      <vt:lpstr>MAIN</vt:lpstr>
      <vt:lpstr>Main_Escal</vt:lpstr>
      <vt:lpstr>Main_Start</vt:lpstr>
      <vt:lpstr>Main_Table</vt:lpstr>
      <vt:lpstr>MainMWh</vt:lpstr>
      <vt:lpstr>NetMW</vt:lpstr>
      <vt:lpstr>OM_Escal</vt:lpstr>
      <vt:lpstr>Opcostescalation</vt:lpstr>
      <vt:lpstr>OpMachInsr</vt:lpstr>
      <vt:lpstr>ops</vt:lpstr>
      <vt:lpstr>ppa</vt:lpstr>
      <vt:lpstr>PPACAPACITY</vt:lpstr>
      <vt:lpstr>PPAHours</vt:lpstr>
      <vt:lpstr>PPATerm</vt:lpstr>
      <vt:lpstr>principal</vt:lpstr>
      <vt:lpstr>Principal1</vt:lpstr>
      <vt:lpstr>Principal2</vt:lpstr>
      <vt:lpstr>Principal3</vt:lpstr>
      <vt:lpstr>'Book Income Statement'!Print_Area</vt:lpstr>
      <vt:lpstr>'Cash Flow Statement'!Print_Area</vt:lpstr>
      <vt:lpstr>'Debt Amortization'!Print_Area</vt:lpstr>
      <vt:lpstr>Depreciation!Print_Area</vt:lpstr>
      <vt:lpstr>'Maintenance Reserves'!Print_Area</vt:lpstr>
      <vt:lpstr>Operations!Print_Area</vt:lpstr>
      <vt:lpstr>'PPA Assumptions &amp;Summary'!Print_Area</vt:lpstr>
      <vt:lpstr>'Project Assumptions'!Print_Area</vt:lpstr>
      <vt:lpstr>'Returns Summary'!Print_Area</vt:lpstr>
      <vt:lpstr>'Tax Calculations'!Print_Area</vt:lpstr>
      <vt:lpstr>'Tracking sheet'!Print_Area</vt:lpstr>
      <vt:lpstr>'Book Income Statement'!Print_Titles</vt:lpstr>
      <vt:lpstr>'Cash Flow Statement'!Print_Titles</vt:lpstr>
      <vt:lpstr>'Debt Amortization'!Print_Titles</vt:lpstr>
      <vt:lpstr>Depreciation!Print_Titles</vt:lpstr>
      <vt:lpstr>'Maintenance Reserves'!Print_Titles</vt:lpstr>
      <vt:lpstr>Operations!Print_Titles</vt:lpstr>
      <vt:lpstr>'PPA Assumptions &amp;Summary'!Print_Titles</vt:lpstr>
      <vt:lpstr>'Project Assumptions'!Print_Titles</vt:lpstr>
      <vt:lpstr>'Returns Summary'!Print_Titles</vt:lpstr>
      <vt:lpstr>'Tax Calculations'!Print_Titles</vt:lpstr>
      <vt:lpstr>'Tracking sheet'!Print_Titles</vt:lpstr>
      <vt:lpstr>Pro_Ass</vt:lpstr>
      <vt:lpstr>ProjectLife</vt:lpstr>
      <vt:lpstr>Returns</vt:lpstr>
      <vt:lpstr>s</vt:lpstr>
      <vt:lpstr>SchoolMillageTaxRate</vt:lpstr>
      <vt:lpstr>StartDate</vt:lpstr>
      <vt:lpstr>Tax</vt:lpstr>
      <vt:lpstr>Term1</vt:lpstr>
      <vt:lpstr>Term2</vt:lpstr>
      <vt:lpstr>Term3</vt:lpstr>
      <vt:lpstr>TVA_hours</vt:lpstr>
      <vt:lpstr>Variable</vt:lpstr>
      <vt:lpstr>VariableMwh</vt:lpstr>
      <vt:lpstr>VEP</vt:lpstr>
      <vt:lpstr>VEP_ESCAL</vt:lpstr>
      <vt:lpstr>WaterMWh</vt:lpstr>
      <vt:lpstr>WaterTreatmentVar</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Jan Havlíček</cp:lastModifiedBy>
  <cp:lastPrinted>1999-09-20T15:44:10Z</cp:lastPrinted>
  <dcterms:created xsi:type="dcterms:W3CDTF">1997-11-13T01:38:26Z</dcterms:created>
  <dcterms:modified xsi:type="dcterms:W3CDTF">2023-09-13T22:17:35Z</dcterms:modified>
</cp:coreProperties>
</file>