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9455"/>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C6C50E5-CDB0-4DB7-93B6-84CFB2CF6C91}" xr6:coauthVersionLast="47" xr6:coauthVersionMax="47" xr10:uidLastSave="{00000000-0000-0000-0000-000000000000}"/>
  <bookViews>
    <workbookView xWindow="-120" yWindow="-120" windowWidth="38640" windowHeight="15720" tabRatio="913" activeTab="2"/>
  </bookViews>
  <sheets>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s>
  <definedNames>
    <definedName name="AnnualHours">'Project Assumptions'!$G$14</definedName>
    <definedName name="AssessedValueMultiplier">'Project Assumptions'!$U$7</definedName>
    <definedName name="BaseYr">'Project Assumptions'!$N$6</definedName>
    <definedName name="BI">'Book Income Statement'!$B$1:$AB$77</definedName>
    <definedName name="BusnIInsr">'Project Assumptions'!$N$31</definedName>
    <definedName name="Cap_Factor_Energy">'Project Assumptions'!$I$23</definedName>
    <definedName name="Capital_Copy">BS!$D$34:$X$34</definedName>
    <definedName name="Capital_Paste">BS!$D$46:$X$46</definedName>
    <definedName name="CF">'Cash Flow Statement'!$A$1:$AB$37</definedName>
    <definedName name="CityTaxRate">'Project Assumptions'!#REF!</definedName>
    <definedName name="CountyMillageTaxRate">'Project Assumptions'!#REF!</definedName>
    <definedName name="Debt">'Debt Amortization'!$A$1:$Y$59</definedName>
    <definedName name="DebtTerm">'Project Assumptions'!$I$39</definedName>
    <definedName name="Deg_Rate">'[2]Project Assumptions'!$F$11</definedName>
    <definedName name="Deprec">Depreciation!$A$1:$AB$51</definedName>
    <definedName name="Ebitda">'Book Income Statement'!$B$65:$AB$65</definedName>
    <definedName name="Energy_Margin">'Project Assumptions'!$F$23</definedName>
    <definedName name="FercMWh">'Project Assumptions'!$N$9</definedName>
    <definedName name="Fixed">'Project Assumptions'!$N$21</definedName>
    <definedName name="FracYr1">'Project Assumptions'!$I$16</definedName>
    <definedName name="Fuel_Start">'Project Assumptions'!$N$16</definedName>
    <definedName name="Grace1">'[1]Project Assumptions'!$F$40</definedName>
    <definedName name="Grace2">'[1]Project Assumptions'!$G$40</definedName>
    <definedName name="Grace3">'[1]Project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Amortization'!$D$88:$AC$88</definedName>
    <definedName name="ISO_NetMW">'Project Assumptions'!$I$9</definedName>
    <definedName name="Labor">'Project Assumptions'!$N$20</definedName>
    <definedName name="LiabInsr">'Project Assumptions'!$N$30</definedName>
    <definedName name="Loan_Copy">BS!$D$29:$X$29</definedName>
    <definedName name="Loan_Paste">BS!$D$45:$X$45</definedName>
    <definedName name="Loop">BS!$A$44</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Assumptions'!$N$41</definedName>
    <definedName name="Opcostescalation">'Project Assumptions'!$N$42</definedName>
    <definedName name="OpMachInsr">'Project Assumptions'!$N$32</definedName>
    <definedName name="ops">Operations!$A$1:$W$47</definedName>
    <definedName name="ppa">'PPA Assumptions &amp;Summary'!$A$1:$AA$80</definedName>
    <definedName name="PPA_Price">'Project Assumptions'!$I$29</definedName>
    <definedName name="PPACAPACITY">'Project Assumptions'!$I$27</definedName>
    <definedName name="PPAHours">'Project Assumptions'!$I$28</definedName>
    <definedName name="PPATerm">'Project Assumptions'!$F$26</definedName>
    <definedName name="principal">'Debt Amortization'!$D$89:$AC$89</definedName>
    <definedName name="principal1">'Project Assumptions'!$F$38</definedName>
    <definedName name="principal2">'Project Assumptions'!$G$38</definedName>
    <definedName name="principal3">'Project Assumptions'!$H$38</definedName>
    <definedName name="_xlnm.Print_Area" localSheetId="7">'Book Income Statement'!$B$1:$AB$77</definedName>
    <definedName name="_xlnm.Print_Area" localSheetId="9">BS!$A$1:$X$39</definedName>
    <definedName name="_xlnm.Print_Area" localSheetId="8">'Cash Flow Statement'!$A$1:$X$37</definedName>
    <definedName name="_xlnm.Print_Area" localSheetId="5">'Debt Amortization'!$A$1:$Y$59</definedName>
    <definedName name="_xlnm.Print_Area" localSheetId="11">Depreciation!$A$1:$W$98</definedName>
    <definedName name="_xlnm.Print_Area" localSheetId="13">'Maintenance Reserves'!$A$1:$AB$44</definedName>
    <definedName name="_xlnm.Print_Area" localSheetId="4">Operations!$A$1:$W$47</definedName>
    <definedName name="_xlnm.Print_Area" localSheetId="3">'PPA Assumptions &amp;Summary'!$A$1:$AA$80</definedName>
    <definedName name="_xlnm.Print_Area" localSheetId="2">'Project Assumptions'!$A$1:$U$73</definedName>
    <definedName name="_xlnm.Print_Area" localSheetId="6">'Returns Summary'!$A$1:$W$42</definedName>
    <definedName name="_xlnm.Print_Area" localSheetId="10">'Tax Calculations'!$A$1:$W$52</definedName>
    <definedName name="_xlnm.Print_Area" localSheetId="0">'Tracking sheet'!$A$2:$G$18</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Assumptions'!$1:$4</definedName>
    <definedName name="_xlnm.Print_Titles" localSheetId="6">'Returns Summary'!$A:$B</definedName>
    <definedName name="_xlnm.Print_Titles" localSheetId="10">'Tax Calculations'!$A:$C</definedName>
    <definedName name="_xlnm.Print_Titles" localSheetId="0">'Tracking sheet'!$2:$4</definedName>
    <definedName name="Pro_Ass">'Project Assumptions'!$A$1:$U$72</definedName>
    <definedName name="ProjectLife">'Project Assumptions'!$I$15</definedName>
    <definedName name="Returns">'Returns Summary'!$A$1:$W$42</definedName>
    <definedName name="s">'Tracking sheet'!$A$4:$X$10</definedName>
    <definedName name="SchoolMillageTaxRate">'Project Assumptions'!$U$8</definedName>
    <definedName name="solver_adj" localSheetId="2" hidden="1">'Project Assumptions'!$I$29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_PAY">'Project Assumptions'!$F$22</definedName>
    <definedName name="StartDate">'Project Assumptions'!$G$16</definedName>
    <definedName name="StartMWh">'Project Assumptions'!#REF!</definedName>
    <definedName name="Tax">'Tax Calculations'!$A$1:$AB$60</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Statement'!$B$1:$AB$77</definedName>
    <definedName name="Z_9D7575BF_255B_11D2_8267_00A0D1027254_.wvu.PrintArea" localSheetId="8" hidden="1">'Cash Flow Statement'!$D$1:$AB$37</definedName>
    <definedName name="Z_9D7575BF_255B_11D2_8267_00A0D1027254_.wvu.PrintArea" localSheetId="13" hidden="1">'Maintenance Reserves'!$C$1:$AB$34</definedName>
    <definedName name="Z_9D7575BF_255B_11D2_8267_00A0D1027254_.wvu.PrintArea" localSheetId="2" hidden="1">'Project Assumptions'!$A$1:$N$62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Statement'!$6:$9,'Book Income Statement'!#REF!</definedName>
    <definedName name="Z_9D7575BF_255B_11D2_8267_00A0D1027254_.wvu.Rows" localSheetId="13" hidden="1">'Maintenance Reserves'!$15:$15,'Maintenance Reserves'!$27:$34</definedName>
  </definedNames>
  <calcPr calcId="0" fullCalcOnLoad="1"/>
  <customWorkbookViews>
    <customWorkbookView name="slewis - Personal View" guid="{773475A7-2559-11D2-A5F6-0060080AEB13}" mergeInterval="0" personalView="1" maximized="1" windowWidth="1020" windowHeight="554" activeSheetId="5"/>
    <customWorkbookView name="Bryan Garrett - Personal View" guid="{9D7575BF-255B-11D2-8267-00A0D1027254}" autoUpdate="1" mergeInterval="30" personalView="1" maximized="1" windowWidth="1020" windowHeight="621" activeSheetId="1"/>
  </customWorkbookViews>
</workbook>
</file>

<file path=xl/calcChain.xml><?xml version="1.0" encoding="utf-8"?>
<calcChain xmlns="http://schemas.openxmlformats.org/spreadsheetml/2006/main">
  <c r="B1" i="6" l="1"/>
  <c r="E4" i="6"/>
  <c r="F4" i="6"/>
  <c r="G4" i="6"/>
  <c r="H4" i="6"/>
  <c r="I4" i="6"/>
  <c r="J4" i="6"/>
  <c r="K4" i="6"/>
  <c r="L4" i="6"/>
  <c r="M4" i="6"/>
  <c r="N4" i="6"/>
  <c r="O4" i="6"/>
  <c r="P4" i="6"/>
  <c r="Q4" i="6"/>
  <c r="R4" i="6"/>
  <c r="S4" i="6"/>
  <c r="T4" i="6"/>
  <c r="U4" i="6"/>
  <c r="V4" i="6"/>
  <c r="W4" i="6"/>
  <c r="X4" i="6"/>
  <c r="Y4" i="6"/>
  <c r="Z4" i="6"/>
  <c r="AA4" i="6"/>
  <c r="AB4"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B8" i="6"/>
  <c r="D8" i="6"/>
  <c r="E8" i="6"/>
  <c r="F8" i="6"/>
  <c r="G8" i="6"/>
  <c r="H8" i="6"/>
  <c r="I8" i="6"/>
  <c r="J8" i="6"/>
  <c r="K8" i="6"/>
  <c r="L8" i="6"/>
  <c r="M8" i="6"/>
  <c r="N8" i="6"/>
  <c r="O8" i="6"/>
  <c r="P8" i="6"/>
  <c r="Q8" i="6"/>
  <c r="R8" i="6"/>
  <c r="S8" i="6"/>
  <c r="T8" i="6"/>
  <c r="U8" i="6"/>
  <c r="V8" i="6"/>
  <c r="W8" i="6"/>
  <c r="X8" i="6"/>
  <c r="Y8" i="6"/>
  <c r="Z8" i="6"/>
  <c r="AA8" i="6"/>
  <c r="AB8"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18" i="6"/>
  <c r="E18" i="6"/>
  <c r="F18" i="6"/>
  <c r="G18" i="6"/>
  <c r="H18" i="6"/>
  <c r="I18" i="6"/>
  <c r="J18" i="6"/>
  <c r="K18" i="6"/>
  <c r="L18" i="6"/>
  <c r="M18" i="6"/>
  <c r="N18" i="6"/>
  <c r="O18" i="6"/>
  <c r="P18" i="6"/>
  <c r="Q18" i="6"/>
  <c r="R18" i="6"/>
  <c r="S18" i="6"/>
  <c r="T18" i="6"/>
  <c r="U18" i="6"/>
  <c r="V18" i="6"/>
  <c r="W18" i="6"/>
  <c r="X18" i="6"/>
  <c r="Y18" i="6"/>
  <c r="Z18" i="6"/>
  <c r="AA18" i="6"/>
  <c r="AB18" i="6"/>
  <c r="D24" i="6"/>
  <c r="E24" i="6"/>
  <c r="F24" i="6"/>
  <c r="G24" i="6"/>
  <c r="H24" i="6"/>
  <c r="I24" i="6"/>
  <c r="J24" i="6"/>
  <c r="K24" i="6"/>
  <c r="L24" i="6"/>
  <c r="M24" i="6"/>
  <c r="N24" i="6"/>
  <c r="O24" i="6"/>
  <c r="P24" i="6"/>
  <c r="Q24" i="6"/>
  <c r="R24" i="6"/>
  <c r="S24" i="6"/>
  <c r="T24" i="6"/>
  <c r="U24" i="6"/>
  <c r="V24" i="6"/>
  <c r="W24" i="6"/>
  <c r="X24" i="6"/>
  <c r="Y24" i="6"/>
  <c r="Z24" i="6"/>
  <c r="AA24" i="6"/>
  <c r="AB24" i="6"/>
  <c r="D26" i="6"/>
  <c r="E26" i="6"/>
  <c r="F26" i="6"/>
  <c r="G26" i="6"/>
  <c r="H26" i="6"/>
  <c r="I26" i="6"/>
  <c r="J26" i="6"/>
  <c r="K26" i="6"/>
  <c r="L26" i="6"/>
  <c r="M26" i="6"/>
  <c r="N26" i="6"/>
  <c r="O26" i="6"/>
  <c r="P26" i="6"/>
  <c r="Q26" i="6"/>
  <c r="R26" i="6"/>
  <c r="S26" i="6"/>
  <c r="T26" i="6"/>
  <c r="U26" i="6"/>
  <c r="V26" i="6"/>
  <c r="W26" i="6"/>
  <c r="X26" i="6"/>
  <c r="Y26" i="6"/>
  <c r="Z26" i="6"/>
  <c r="AA26" i="6"/>
  <c r="AB26" i="6"/>
  <c r="D27" i="6"/>
  <c r="E27" i="6"/>
  <c r="F27" i="6"/>
  <c r="G27" i="6"/>
  <c r="H27" i="6"/>
  <c r="I27" i="6"/>
  <c r="J27" i="6"/>
  <c r="K27" i="6"/>
  <c r="L27" i="6"/>
  <c r="M27" i="6"/>
  <c r="N27" i="6"/>
  <c r="O27" i="6"/>
  <c r="P27" i="6"/>
  <c r="Q27" i="6"/>
  <c r="R27" i="6"/>
  <c r="S27" i="6"/>
  <c r="T27" i="6"/>
  <c r="U27" i="6"/>
  <c r="V27" i="6"/>
  <c r="W27" i="6"/>
  <c r="X27" i="6"/>
  <c r="Y27" i="6"/>
  <c r="Z27" i="6"/>
  <c r="AA27" i="6"/>
  <c r="AB27" i="6"/>
  <c r="D28" i="6"/>
  <c r="E28" i="6"/>
  <c r="F28" i="6"/>
  <c r="G28" i="6"/>
  <c r="H28" i="6"/>
  <c r="I28" i="6"/>
  <c r="J28" i="6"/>
  <c r="K28" i="6"/>
  <c r="L28" i="6"/>
  <c r="M28" i="6"/>
  <c r="N28" i="6"/>
  <c r="O28" i="6"/>
  <c r="P28" i="6"/>
  <c r="Q28" i="6"/>
  <c r="R28" i="6"/>
  <c r="S28" i="6"/>
  <c r="T28" i="6"/>
  <c r="U28" i="6"/>
  <c r="V28" i="6"/>
  <c r="W28" i="6"/>
  <c r="X28" i="6"/>
  <c r="Y28" i="6"/>
  <c r="Z28" i="6"/>
  <c r="AA28" i="6"/>
  <c r="AB28" i="6"/>
  <c r="C29" i="6"/>
  <c r="D29" i="6"/>
  <c r="E29" i="6"/>
  <c r="F29" i="6"/>
  <c r="G29" i="6"/>
  <c r="H29" i="6"/>
  <c r="I29" i="6"/>
  <c r="J29" i="6"/>
  <c r="K29" i="6"/>
  <c r="L29" i="6"/>
  <c r="M29" i="6"/>
  <c r="N29" i="6"/>
  <c r="O29" i="6"/>
  <c r="P29" i="6"/>
  <c r="Q29" i="6"/>
  <c r="R29" i="6"/>
  <c r="S29" i="6"/>
  <c r="T29" i="6"/>
  <c r="U29" i="6"/>
  <c r="V29" i="6"/>
  <c r="W29" i="6"/>
  <c r="X29" i="6"/>
  <c r="Y29" i="6"/>
  <c r="Z29" i="6"/>
  <c r="AA29" i="6"/>
  <c r="AB29" i="6"/>
  <c r="D31" i="6"/>
  <c r="E31" i="6"/>
  <c r="F31" i="6"/>
  <c r="G31" i="6"/>
  <c r="H31" i="6"/>
  <c r="I31" i="6"/>
  <c r="J31" i="6"/>
  <c r="K31" i="6"/>
  <c r="L31" i="6"/>
  <c r="M31" i="6"/>
  <c r="N31" i="6"/>
  <c r="O31" i="6"/>
  <c r="P31" i="6"/>
  <c r="Q31" i="6"/>
  <c r="R31" i="6"/>
  <c r="S31" i="6"/>
  <c r="T31" i="6"/>
  <c r="U31" i="6"/>
  <c r="V31" i="6"/>
  <c r="W31" i="6"/>
  <c r="X31" i="6"/>
  <c r="Y31" i="6"/>
  <c r="Z31" i="6"/>
  <c r="AA31" i="6"/>
  <c r="AB31" i="6"/>
  <c r="C34" i="6"/>
  <c r="D34" i="6"/>
  <c r="E34" i="6"/>
  <c r="F34" i="6"/>
  <c r="G34" i="6"/>
  <c r="H34" i="6"/>
  <c r="I34" i="6"/>
  <c r="J34" i="6"/>
  <c r="K34" i="6"/>
  <c r="L34" i="6"/>
  <c r="M34" i="6"/>
  <c r="N34" i="6"/>
  <c r="O34" i="6"/>
  <c r="P34" i="6"/>
  <c r="Q34" i="6"/>
  <c r="R34" i="6"/>
  <c r="S34" i="6"/>
  <c r="T34" i="6"/>
  <c r="U34" i="6"/>
  <c r="V34" i="6"/>
  <c r="W34" i="6"/>
  <c r="X34" i="6"/>
  <c r="Y34" i="6"/>
  <c r="Z34" i="6"/>
  <c r="AA34" i="6"/>
  <c r="AB34" i="6"/>
  <c r="D35" i="6"/>
  <c r="E35" i="6"/>
  <c r="F35" i="6"/>
  <c r="G35" i="6"/>
  <c r="H35" i="6"/>
  <c r="I35" i="6"/>
  <c r="J35" i="6"/>
  <c r="K35" i="6"/>
  <c r="L35" i="6"/>
  <c r="M35" i="6"/>
  <c r="N35" i="6"/>
  <c r="O35" i="6"/>
  <c r="P35" i="6"/>
  <c r="Q35" i="6"/>
  <c r="R35" i="6"/>
  <c r="S35" i="6"/>
  <c r="T35" i="6"/>
  <c r="U35" i="6"/>
  <c r="V35" i="6"/>
  <c r="W35" i="6"/>
  <c r="X35" i="6"/>
  <c r="Y35" i="6"/>
  <c r="Z35" i="6"/>
  <c r="AA35" i="6"/>
  <c r="AB35" i="6"/>
  <c r="D36" i="6"/>
  <c r="E36" i="6"/>
  <c r="F36" i="6"/>
  <c r="G36" i="6"/>
  <c r="H36" i="6"/>
  <c r="I36" i="6"/>
  <c r="J36" i="6"/>
  <c r="K36" i="6"/>
  <c r="L36" i="6"/>
  <c r="M36" i="6"/>
  <c r="N36" i="6"/>
  <c r="O36" i="6"/>
  <c r="P36" i="6"/>
  <c r="Q36" i="6"/>
  <c r="R36" i="6"/>
  <c r="S36" i="6"/>
  <c r="T36" i="6"/>
  <c r="U36" i="6"/>
  <c r="V36" i="6"/>
  <c r="W36" i="6"/>
  <c r="X36" i="6"/>
  <c r="Y36" i="6"/>
  <c r="Z36" i="6"/>
  <c r="AA36" i="6"/>
  <c r="AB36"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2" i="6"/>
  <c r="D42" i="6"/>
  <c r="E42" i="6"/>
  <c r="F42" i="6"/>
  <c r="G42" i="6"/>
  <c r="H42" i="6"/>
  <c r="I42" i="6"/>
  <c r="J42" i="6"/>
  <c r="K42" i="6"/>
  <c r="L42" i="6"/>
  <c r="M42" i="6"/>
  <c r="N42" i="6"/>
  <c r="O42" i="6"/>
  <c r="P42" i="6"/>
  <c r="Q42" i="6"/>
  <c r="R42" i="6"/>
  <c r="S42" i="6"/>
  <c r="T42" i="6"/>
  <c r="U42" i="6"/>
  <c r="V42" i="6"/>
  <c r="W42" i="6"/>
  <c r="X42" i="6"/>
  <c r="Y42" i="6"/>
  <c r="Z42" i="6"/>
  <c r="AA42" i="6"/>
  <c r="AB42" i="6"/>
  <c r="C43" i="6"/>
  <c r="D43" i="6"/>
  <c r="E43" i="6"/>
  <c r="F43" i="6"/>
  <c r="G43" i="6"/>
  <c r="H43" i="6"/>
  <c r="I43" i="6"/>
  <c r="J43" i="6"/>
  <c r="K43" i="6"/>
  <c r="L43" i="6"/>
  <c r="M43" i="6"/>
  <c r="N43" i="6"/>
  <c r="O43" i="6"/>
  <c r="P43" i="6"/>
  <c r="Q43" i="6"/>
  <c r="R43" i="6"/>
  <c r="S43" i="6"/>
  <c r="T43" i="6"/>
  <c r="U43" i="6"/>
  <c r="V43" i="6"/>
  <c r="W43" i="6"/>
  <c r="X43" i="6"/>
  <c r="Y43" i="6"/>
  <c r="Z43" i="6"/>
  <c r="AA43" i="6"/>
  <c r="AB43" i="6"/>
  <c r="C44" i="6"/>
  <c r="D44" i="6"/>
  <c r="E44" i="6"/>
  <c r="F44" i="6"/>
  <c r="G44" i="6"/>
  <c r="H44" i="6"/>
  <c r="I44" i="6"/>
  <c r="J44" i="6"/>
  <c r="K44" i="6"/>
  <c r="L44" i="6"/>
  <c r="M44" i="6"/>
  <c r="N44" i="6"/>
  <c r="O44" i="6"/>
  <c r="P44" i="6"/>
  <c r="Q44" i="6"/>
  <c r="R44" i="6"/>
  <c r="S44" i="6"/>
  <c r="T44" i="6"/>
  <c r="U44" i="6"/>
  <c r="V44" i="6"/>
  <c r="W44" i="6"/>
  <c r="X44" i="6"/>
  <c r="Y44" i="6"/>
  <c r="Z44" i="6"/>
  <c r="AA44" i="6"/>
  <c r="AB44"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C50" i="6"/>
  <c r="D50" i="6"/>
  <c r="E50" i="6"/>
  <c r="F50" i="6"/>
  <c r="G50" i="6"/>
  <c r="H50" i="6"/>
  <c r="I50" i="6"/>
  <c r="J50" i="6"/>
  <c r="K50" i="6"/>
  <c r="L50" i="6"/>
  <c r="M50" i="6"/>
  <c r="N50" i="6"/>
  <c r="O50" i="6"/>
  <c r="P50" i="6"/>
  <c r="Q50" i="6"/>
  <c r="R50" i="6"/>
  <c r="S50" i="6"/>
  <c r="T50" i="6"/>
  <c r="U50" i="6"/>
  <c r="V50" i="6"/>
  <c r="W50" i="6"/>
  <c r="X50" i="6"/>
  <c r="Y50" i="6"/>
  <c r="Z50" i="6"/>
  <c r="AA50" i="6"/>
  <c r="AB50" i="6"/>
  <c r="C51" i="6"/>
  <c r="D51" i="6"/>
  <c r="E51" i="6"/>
  <c r="F51" i="6"/>
  <c r="G51" i="6"/>
  <c r="H51" i="6"/>
  <c r="I51" i="6"/>
  <c r="J51" i="6"/>
  <c r="K51" i="6"/>
  <c r="L51" i="6"/>
  <c r="M51" i="6"/>
  <c r="N51" i="6"/>
  <c r="O51" i="6"/>
  <c r="P51" i="6"/>
  <c r="Q51" i="6"/>
  <c r="R51" i="6"/>
  <c r="S51" i="6"/>
  <c r="T51" i="6"/>
  <c r="U51" i="6"/>
  <c r="V51" i="6"/>
  <c r="W51" i="6"/>
  <c r="X51" i="6"/>
  <c r="Y51" i="6"/>
  <c r="Z51" i="6"/>
  <c r="AA51" i="6"/>
  <c r="AB51" i="6"/>
  <c r="C52" i="6"/>
  <c r="D52" i="6"/>
  <c r="E52" i="6"/>
  <c r="F52" i="6"/>
  <c r="G52" i="6"/>
  <c r="H52" i="6"/>
  <c r="I52" i="6"/>
  <c r="J52" i="6"/>
  <c r="K52" i="6"/>
  <c r="L52" i="6"/>
  <c r="M52" i="6"/>
  <c r="N52" i="6"/>
  <c r="O52" i="6"/>
  <c r="P52" i="6"/>
  <c r="Q52" i="6"/>
  <c r="R52" i="6"/>
  <c r="S52" i="6"/>
  <c r="T52" i="6"/>
  <c r="U52" i="6"/>
  <c r="V52" i="6"/>
  <c r="W52" i="6"/>
  <c r="X52" i="6"/>
  <c r="Y52" i="6"/>
  <c r="Z52" i="6"/>
  <c r="AA52" i="6"/>
  <c r="AB52" i="6"/>
  <c r="D53" i="6"/>
  <c r="E53" i="6"/>
  <c r="F53" i="6"/>
  <c r="G53" i="6"/>
  <c r="H53" i="6"/>
  <c r="I53" i="6"/>
  <c r="J53" i="6"/>
  <c r="K53" i="6"/>
  <c r="L53" i="6"/>
  <c r="M53" i="6"/>
  <c r="N53" i="6"/>
  <c r="O53" i="6"/>
  <c r="P53" i="6"/>
  <c r="Q53" i="6"/>
  <c r="R53" i="6"/>
  <c r="S53" i="6"/>
  <c r="T53" i="6"/>
  <c r="U53" i="6"/>
  <c r="V53" i="6"/>
  <c r="W53" i="6"/>
  <c r="X53" i="6"/>
  <c r="Y53" i="6"/>
  <c r="Z53" i="6"/>
  <c r="AA53" i="6"/>
  <c r="AB53" i="6"/>
  <c r="C55" i="6"/>
  <c r="D55" i="6"/>
  <c r="E55" i="6"/>
  <c r="F55" i="6"/>
  <c r="G55" i="6"/>
  <c r="H55" i="6"/>
  <c r="I55" i="6"/>
  <c r="J55" i="6"/>
  <c r="K55" i="6"/>
  <c r="L55" i="6"/>
  <c r="M55" i="6"/>
  <c r="N55" i="6"/>
  <c r="O55" i="6"/>
  <c r="P55" i="6"/>
  <c r="Q55" i="6"/>
  <c r="R55" i="6"/>
  <c r="S55" i="6"/>
  <c r="T55" i="6"/>
  <c r="U55" i="6"/>
  <c r="V55" i="6"/>
  <c r="W55" i="6"/>
  <c r="X55" i="6"/>
  <c r="Y55" i="6"/>
  <c r="Z55" i="6"/>
  <c r="AA55" i="6"/>
  <c r="AB55" i="6"/>
  <c r="D58" i="6"/>
  <c r="E58" i="6"/>
  <c r="F58" i="6"/>
  <c r="G58" i="6"/>
  <c r="H58" i="6"/>
  <c r="I58" i="6"/>
  <c r="J58" i="6"/>
  <c r="K58" i="6"/>
  <c r="L58" i="6"/>
  <c r="M58" i="6"/>
  <c r="N58" i="6"/>
  <c r="O58" i="6"/>
  <c r="P58" i="6"/>
  <c r="Q58" i="6"/>
  <c r="R58" i="6"/>
  <c r="S58" i="6"/>
  <c r="T58" i="6"/>
  <c r="U58" i="6"/>
  <c r="V58" i="6"/>
  <c r="W58" i="6"/>
  <c r="X58" i="6"/>
  <c r="Y58" i="6"/>
  <c r="Z58" i="6"/>
  <c r="AA58" i="6"/>
  <c r="AB58" i="6"/>
  <c r="D59" i="6"/>
  <c r="E59" i="6"/>
  <c r="F59" i="6"/>
  <c r="G59" i="6"/>
  <c r="H59" i="6"/>
  <c r="I59" i="6"/>
  <c r="J59" i="6"/>
  <c r="K59" i="6"/>
  <c r="L59" i="6"/>
  <c r="M59" i="6"/>
  <c r="N59" i="6"/>
  <c r="O59" i="6"/>
  <c r="P59" i="6"/>
  <c r="Q59" i="6"/>
  <c r="R59" i="6"/>
  <c r="S59" i="6"/>
  <c r="T59" i="6"/>
  <c r="U59" i="6"/>
  <c r="V59" i="6"/>
  <c r="W59" i="6"/>
  <c r="X59" i="6"/>
  <c r="Y59" i="6"/>
  <c r="Z59" i="6"/>
  <c r="AA59" i="6"/>
  <c r="AB59" i="6"/>
  <c r="D60" i="6"/>
  <c r="E60" i="6"/>
  <c r="F60" i="6"/>
  <c r="G60" i="6"/>
  <c r="H60" i="6"/>
  <c r="I60" i="6"/>
  <c r="J60" i="6"/>
  <c r="K60" i="6"/>
  <c r="L60" i="6"/>
  <c r="M60" i="6"/>
  <c r="N60" i="6"/>
  <c r="O60" i="6"/>
  <c r="P60" i="6"/>
  <c r="Q60" i="6"/>
  <c r="R60" i="6"/>
  <c r="S60" i="6"/>
  <c r="T60" i="6"/>
  <c r="U60" i="6"/>
  <c r="V60" i="6"/>
  <c r="W60" i="6"/>
  <c r="X60" i="6"/>
  <c r="Y60" i="6"/>
  <c r="Z60" i="6"/>
  <c r="AA60" i="6"/>
  <c r="AB60" i="6"/>
  <c r="D62" i="6"/>
  <c r="E62" i="6"/>
  <c r="F62" i="6"/>
  <c r="G62" i="6"/>
  <c r="H62" i="6"/>
  <c r="I62" i="6"/>
  <c r="J62" i="6"/>
  <c r="K62" i="6"/>
  <c r="L62" i="6"/>
  <c r="M62" i="6"/>
  <c r="N62" i="6"/>
  <c r="O62" i="6"/>
  <c r="P62" i="6"/>
  <c r="Q62" i="6"/>
  <c r="R62" i="6"/>
  <c r="S62" i="6"/>
  <c r="T62" i="6"/>
  <c r="U62" i="6"/>
  <c r="V62" i="6"/>
  <c r="W62" i="6"/>
  <c r="X62" i="6"/>
  <c r="Y62" i="6"/>
  <c r="Z62" i="6"/>
  <c r="AA62" i="6"/>
  <c r="AB62" i="6"/>
  <c r="D65" i="6"/>
  <c r="E65" i="6"/>
  <c r="F65" i="6"/>
  <c r="G65" i="6"/>
  <c r="H65" i="6"/>
  <c r="I65" i="6"/>
  <c r="J65" i="6"/>
  <c r="K65" i="6"/>
  <c r="L65" i="6"/>
  <c r="M65" i="6"/>
  <c r="N65" i="6"/>
  <c r="O65" i="6"/>
  <c r="P65" i="6"/>
  <c r="Q65" i="6"/>
  <c r="R65" i="6"/>
  <c r="S65" i="6"/>
  <c r="T65" i="6"/>
  <c r="U65" i="6"/>
  <c r="V65" i="6"/>
  <c r="W65" i="6"/>
  <c r="X65" i="6"/>
  <c r="Y65" i="6"/>
  <c r="Z65" i="6"/>
  <c r="AA65" i="6"/>
  <c r="AB65" i="6"/>
  <c r="D67" i="6"/>
  <c r="E67" i="6"/>
  <c r="F67" i="6"/>
  <c r="G67" i="6"/>
  <c r="H67" i="6"/>
  <c r="I67" i="6"/>
  <c r="J67" i="6"/>
  <c r="K67" i="6"/>
  <c r="L67" i="6"/>
  <c r="M67" i="6"/>
  <c r="N67" i="6"/>
  <c r="O67" i="6"/>
  <c r="P67" i="6"/>
  <c r="Q67" i="6"/>
  <c r="R67" i="6"/>
  <c r="S67" i="6"/>
  <c r="T67" i="6"/>
  <c r="U67" i="6"/>
  <c r="V67" i="6"/>
  <c r="W67" i="6"/>
  <c r="X67" i="6"/>
  <c r="Y67" i="6"/>
  <c r="Z67" i="6"/>
  <c r="AA67" i="6"/>
  <c r="AB67" i="6"/>
  <c r="D68" i="6"/>
  <c r="D69" i="6"/>
  <c r="E69" i="6"/>
  <c r="F69" i="6"/>
  <c r="G69" i="6"/>
  <c r="H69" i="6"/>
  <c r="I69" i="6"/>
  <c r="J69" i="6"/>
  <c r="K69" i="6"/>
  <c r="L69" i="6"/>
  <c r="M69" i="6"/>
  <c r="N69" i="6"/>
  <c r="O69" i="6"/>
  <c r="P69" i="6"/>
  <c r="Q69" i="6"/>
  <c r="R69" i="6"/>
  <c r="S69" i="6"/>
  <c r="T69" i="6"/>
  <c r="U69" i="6"/>
  <c r="V69" i="6"/>
  <c r="W69" i="6"/>
  <c r="X69" i="6"/>
  <c r="Y69" i="6"/>
  <c r="Z69" i="6"/>
  <c r="AA69" i="6"/>
  <c r="AB69"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3" i="6"/>
  <c r="E73" i="6"/>
  <c r="F73" i="6"/>
  <c r="G73" i="6"/>
  <c r="H73" i="6"/>
  <c r="I73" i="6"/>
  <c r="J73" i="6"/>
  <c r="K73" i="6"/>
  <c r="L73" i="6"/>
  <c r="M73" i="6"/>
  <c r="N73" i="6"/>
  <c r="O73" i="6"/>
  <c r="P73" i="6"/>
  <c r="Q73" i="6"/>
  <c r="R73" i="6"/>
  <c r="S73" i="6"/>
  <c r="T73" i="6"/>
  <c r="U73" i="6"/>
  <c r="V73" i="6"/>
  <c r="W73" i="6"/>
  <c r="X73" i="6"/>
  <c r="Y73" i="6"/>
  <c r="Z73" i="6"/>
  <c r="AA73" i="6"/>
  <c r="AB73" i="6"/>
  <c r="D74" i="6"/>
  <c r="E74" i="6"/>
  <c r="F74" i="6"/>
  <c r="G74" i="6"/>
  <c r="H74" i="6"/>
  <c r="I74" i="6"/>
  <c r="J74" i="6"/>
  <c r="K74" i="6"/>
  <c r="L74" i="6"/>
  <c r="M74" i="6"/>
  <c r="N74" i="6"/>
  <c r="O74" i="6"/>
  <c r="P74" i="6"/>
  <c r="Q74" i="6"/>
  <c r="R74" i="6"/>
  <c r="S74" i="6"/>
  <c r="T74" i="6"/>
  <c r="U74" i="6"/>
  <c r="V74" i="6"/>
  <c r="W74" i="6"/>
  <c r="X74" i="6"/>
  <c r="Y74" i="6"/>
  <c r="Z74" i="6"/>
  <c r="AA74" i="6"/>
  <c r="AB74" i="6"/>
  <c r="D76" i="6"/>
  <c r="E76" i="6"/>
  <c r="F76" i="6"/>
  <c r="G76" i="6"/>
  <c r="H76" i="6"/>
  <c r="I76" i="6"/>
  <c r="J76" i="6"/>
  <c r="K76" i="6"/>
  <c r="L76" i="6"/>
  <c r="M76" i="6"/>
  <c r="N76" i="6"/>
  <c r="O76" i="6"/>
  <c r="P76" i="6"/>
  <c r="Q76" i="6"/>
  <c r="R76" i="6"/>
  <c r="S76" i="6"/>
  <c r="T76" i="6"/>
  <c r="U76" i="6"/>
  <c r="V76" i="6"/>
  <c r="W76" i="6"/>
  <c r="X76" i="6"/>
  <c r="Y76" i="6"/>
  <c r="Z76" i="6"/>
  <c r="AA76" i="6"/>
  <c r="AB76" i="6"/>
  <c r="D77" i="6"/>
  <c r="E77" i="6"/>
  <c r="F77" i="6"/>
  <c r="G77" i="6"/>
  <c r="H77" i="6"/>
  <c r="I77" i="6"/>
  <c r="J77" i="6"/>
  <c r="K77" i="6"/>
  <c r="L77" i="6"/>
  <c r="M77" i="6"/>
  <c r="N77" i="6"/>
  <c r="O77" i="6"/>
  <c r="P77" i="6"/>
  <c r="Q77" i="6"/>
  <c r="R77" i="6"/>
  <c r="S77" i="6"/>
  <c r="T77" i="6"/>
  <c r="U77" i="6"/>
  <c r="V77" i="6"/>
  <c r="W77" i="6"/>
  <c r="X77" i="6"/>
  <c r="Y77" i="6"/>
  <c r="Z77" i="6"/>
  <c r="AA77" i="6"/>
  <c r="AB77" i="6"/>
  <c r="C79" i="6"/>
  <c r="F79" i="6"/>
  <c r="C80" i="6"/>
  <c r="F80" i="6"/>
  <c r="A1" i="16"/>
  <c r="D4" i="16"/>
  <c r="E4" i="16"/>
  <c r="F4" i="16"/>
  <c r="G4" i="16"/>
  <c r="H4" i="16"/>
  <c r="I4" i="16"/>
  <c r="J4" i="16"/>
  <c r="K4" i="16"/>
  <c r="L4" i="16"/>
  <c r="M4" i="16"/>
  <c r="N4" i="16"/>
  <c r="O4" i="16"/>
  <c r="P4" i="16"/>
  <c r="Q4" i="16"/>
  <c r="R4" i="16"/>
  <c r="S4" i="16"/>
  <c r="T4" i="16"/>
  <c r="U4" i="16"/>
  <c r="V4" i="16"/>
  <c r="W4" i="16"/>
  <c r="X4" i="16"/>
  <c r="D5" i="16"/>
  <c r="E5" i="16"/>
  <c r="F5" i="16"/>
  <c r="G5" i="16"/>
  <c r="H5" i="16"/>
  <c r="I5" i="16"/>
  <c r="J5" i="16"/>
  <c r="K5" i="16"/>
  <c r="L5" i="16"/>
  <c r="M5" i="16"/>
  <c r="N5" i="16"/>
  <c r="O5" i="16"/>
  <c r="P5" i="16"/>
  <c r="Q5" i="16"/>
  <c r="R5" i="16"/>
  <c r="S5" i="16"/>
  <c r="T5" i="16"/>
  <c r="U5" i="16"/>
  <c r="V5" i="16"/>
  <c r="W5" i="16"/>
  <c r="X5"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3" i="16"/>
  <c r="E13" i="16"/>
  <c r="F13" i="16"/>
  <c r="G13" i="16"/>
  <c r="H13" i="16"/>
  <c r="I13" i="16"/>
  <c r="J13" i="16"/>
  <c r="K13" i="16"/>
  <c r="L13" i="16"/>
  <c r="M13" i="16"/>
  <c r="N13" i="16"/>
  <c r="O13" i="16"/>
  <c r="P13" i="16"/>
  <c r="Q13" i="16"/>
  <c r="R13" i="16"/>
  <c r="S13" i="16"/>
  <c r="T13" i="16"/>
  <c r="U13" i="16"/>
  <c r="V13" i="16"/>
  <c r="W13" i="16"/>
  <c r="X13"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19" i="16"/>
  <c r="E19" i="16"/>
  <c r="F19" i="16"/>
  <c r="G19" i="16"/>
  <c r="H19" i="16"/>
  <c r="I19" i="16"/>
  <c r="J19" i="16"/>
  <c r="K19" i="16"/>
  <c r="L19" i="16"/>
  <c r="M19" i="16"/>
  <c r="N19" i="16"/>
  <c r="O19" i="16"/>
  <c r="P19" i="16"/>
  <c r="Q19" i="16"/>
  <c r="R19" i="16"/>
  <c r="S19" i="16"/>
  <c r="T19" i="16"/>
  <c r="U19" i="16"/>
  <c r="V19" i="16"/>
  <c r="W19" i="16"/>
  <c r="X19" i="16"/>
  <c r="D22" i="16"/>
  <c r="E22" i="16"/>
  <c r="F22" i="16"/>
  <c r="G22" i="16"/>
  <c r="H22" i="16"/>
  <c r="I22" i="16"/>
  <c r="J22" i="16"/>
  <c r="K22" i="16"/>
  <c r="L22" i="16"/>
  <c r="M22" i="16"/>
  <c r="N22" i="16"/>
  <c r="O22" i="16"/>
  <c r="P22" i="16"/>
  <c r="Q22" i="16"/>
  <c r="R22" i="16"/>
  <c r="S22" i="16"/>
  <c r="T22" i="16"/>
  <c r="U22" i="16"/>
  <c r="V22" i="16"/>
  <c r="W22" i="16"/>
  <c r="X22" i="16"/>
  <c r="D25" i="16"/>
  <c r="E25" i="16"/>
  <c r="F25" i="16"/>
  <c r="G25" i="16"/>
  <c r="H25" i="16"/>
  <c r="I25" i="16"/>
  <c r="J25" i="16"/>
  <c r="K25" i="16"/>
  <c r="L25" i="16"/>
  <c r="M25" i="16"/>
  <c r="N25" i="16"/>
  <c r="O25" i="16"/>
  <c r="P25" i="16"/>
  <c r="Q25" i="16"/>
  <c r="R25" i="16"/>
  <c r="S25" i="16"/>
  <c r="T25" i="16"/>
  <c r="U25" i="16"/>
  <c r="V25" i="16"/>
  <c r="W25" i="16"/>
  <c r="X25" i="16"/>
  <c r="D27" i="16"/>
  <c r="E27" i="16"/>
  <c r="F27" i="16"/>
  <c r="G27" i="16"/>
  <c r="H27" i="16"/>
  <c r="I27" i="16"/>
  <c r="J27" i="16"/>
  <c r="K27" i="16"/>
  <c r="L27" i="16"/>
  <c r="M27" i="16"/>
  <c r="N27" i="16"/>
  <c r="O27" i="16"/>
  <c r="P27" i="16"/>
  <c r="Q27" i="16"/>
  <c r="R27" i="16"/>
  <c r="S27" i="16"/>
  <c r="T27" i="16"/>
  <c r="U27" i="16"/>
  <c r="V27" i="16"/>
  <c r="W27" i="16"/>
  <c r="X27" i="16"/>
  <c r="D29" i="16"/>
  <c r="E29" i="16"/>
  <c r="F29" i="16"/>
  <c r="G29" i="16"/>
  <c r="H29" i="16"/>
  <c r="I29" i="16"/>
  <c r="J29" i="16"/>
  <c r="K29" i="16"/>
  <c r="L29" i="16"/>
  <c r="M29" i="16"/>
  <c r="N29" i="16"/>
  <c r="O29" i="16"/>
  <c r="P29" i="16"/>
  <c r="Q29" i="16"/>
  <c r="R29" i="16"/>
  <c r="S29" i="16"/>
  <c r="T29" i="16"/>
  <c r="U29" i="16"/>
  <c r="V29" i="16"/>
  <c r="W29" i="16"/>
  <c r="X29" i="16"/>
  <c r="D31" i="16"/>
  <c r="E31" i="16"/>
  <c r="F31" i="16"/>
  <c r="G31" i="16"/>
  <c r="H31" i="16"/>
  <c r="I31" i="16"/>
  <c r="J31" i="16"/>
  <c r="K31" i="16"/>
  <c r="L31" i="16"/>
  <c r="M31" i="16"/>
  <c r="N31" i="16"/>
  <c r="O31" i="16"/>
  <c r="P31" i="16"/>
  <c r="Q31" i="16"/>
  <c r="R31" i="16"/>
  <c r="S31" i="16"/>
  <c r="T31" i="16"/>
  <c r="U31" i="16"/>
  <c r="V31" i="16"/>
  <c r="W31" i="16"/>
  <c r="X31"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7" i="16"/>
  <c r="E37" i="16"/>
  <c r="F37" i="16"/>
  <c r="G37" i="16"/>
  <c r="H37" i="16"/>
  <c r="I37" i="16"/>
  <c r="J37" i="16"/>
  <c r="K37" i="16"/>
  <c r="L37" i="16"/>
  <c r="M37" i="16"/>
  <c r="N37" i="16"/>
  <c r="O37" i="16"/>
  <c r="P37" i="16"/>
  <c r="Q37" i="16"/>
  <c r="R37" i="16"/>
  <c r="S37" i="16"/>
  <c r="T37" i="16"/>
  <c r="U37" i="16"/>
  <c r="V37" i="16"/>
  <c r="W37" i="16"/>
  <c r="X37" i="16"/>
  <c r="D39" i="16"/>
  <c r="E39" i="16"/>
  <c r="F39" i="16"/>
  <c r="G39" i="16"/>
  <c r="H39" i="16"/>
  <c r="I39" i="16"/>
  <c r="J39" i="16"/>
  <c r="K39" i="16"/>
  <c r="L39" i="16"/>
  <c r="M39" i="16"/>
  <c r="N39" i="16"/>
  <c r="O39" i="16"/>
  <c r="P39" i="16"/>
  <c r="Q39" i="16"/>
  <c r="R39" i="16"/>
  <c r="S39" i="16"/>
  <c r="T39" i="16"/>
  <c r="U39" i="16"/>
  <c r="V39" i="16"/>
  <c r="W39" i="16"/>
  <c r="X39" i="16"/>
  <c r="A44" i="16"/>
  <c r="A1" i="7"/>
  <c r="E4" i="7"/>
  <c r="F4" i="7"/>
  <c r="G4" i="7"/>
  <c r="H4" i="7"/>
  <c r="I4" i="7"/>
  <c r="J4" i="7"/>
  <c r="K4" i="7"/>
  <c r="L4" i="7"/>
  <c r="M4" i="7"/>
  <c r="N4" i="7"/>
  <c r="O4" i="7"/>
  <c r="P4" i="7"/>
  <c r="Q4" i="7"/>
  <c r="R4" i="7"/>
  <c r="S4" i="7"/>
  <c r="T4" i="7"/>
  <c r="U4" i="7"/>
  <c r="V4" i="7"/>
  <c r="W4" i="7"/>
  <c r="X4" i="7"/>
  <c r="Y4" i="7"/>
  <c r="Z4" i="7"/>
  <c r="AA4" i="7"/>
  <c r="AB4" i="7"/>
  <c r="D5" i="7"/>
  <c r="E5" i="7"/>
  <c r="F5" i="7"/>
  <c r="G5" i="7"/>
  <c r="H5" i="7"/>
  <c r="I5" i="7"/>
  <c r="J5" i="7"/>
  <c r="K5" i="7"/>
  <c r="L5" i="7"/>
  <c r="M5" i="7"/>
  <c r="N5" i="7"/>
  <c r="O5" i="7"/>
  <c r="P5" i="7"/>
  <c r="Q5" i="7"/>
  <c r="R5" i="7"/>
  <c r="S5" i="7"/>
  <c r="T5" i="7"/>
  <c r="U5" i="7"/>
  <c r="V5" i="7"/>
  <c r="W5" i="7"/>
  <c r="X5" i="7"/>
  <c r="Y5" i="7"/>
  <c r="Z5" i="7"/>
  <c r="AA5" i="7"/>
  <c r="AB5" i="7"/>
  <c r="C7" i="7"/>
  <c r="D7" i="7"/>
  <c r="E7" i="7"/>
  <c r="F7" i="7"/>
  <c r="G7" i="7"/>
  <c r="H7" i="7"/>
  <c r="I7" i="7"/>
  <c r="J7" i="7"/>
  <c r="K7" i="7"/>
  <c r="L7" i="7"/>
  <c r="M7" i="7"/>
  <c r="N7" i="7"/>
  <c r="O7" i="7"/>
  <c r="P7" i="7"/>
  <c r="Q7" i="7"/>
  <c r="R7" i="7"/>
  <c r="S7" i="7"/>
  <c r="T7" i="7"/>
  <c r="U7" i="7"/>
  <c r="V7" i="7"/>
  <c r="W7" i="7"/>
  <c r="X7" i="7"/>
  <c r="Y7" i="7"/>
  <c r="Z7" i="7"/>
  <c r="AA7" i="7"/>
  <c r="AB7" i="7"/>
  <c r="C8"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D10" i="7"/>
  <c r="E10" i="7"/>
  <c r="F10" i="7"/>
  <c r="G10" i="7"/>
  <c r="H10" i="7"/>
  <c r="I10" i="7"/>
  <c r="J10" i="7"/>
  <c r="K10" i="7"/>
  <c r="L10" i="7"/>
  <c r="M10" i="7"/>
  <c r="N10" i="7"/>
  <c r="O10" i="7"/>
  <c r="P10" i="7"/>
  <c r="Q10" i="7"/>
  <c r="R10" i="7"/>
  <c r="S10" i="7"/>
  <c r="T10" i="7"/>
  <c r="U10" i="7"/>
  <c r="V10" i="7"/>
  <c r="W10" i="7"/>
  <c r="X10" i="7"/>
  <c r="Y10" i="7"/>
  <c r="Z10" i="7"/>
  <c r="AA10" i="7"/>
  <c r="AB10" i="7"/>
  <c r="C11" i="7"/>
  <c r="D11" i="7"/>
  <c r="E11" i="7"/>
  <c r="F11" i="7"/>
  <c r="G11" i="7"/>
  <c r="H11" i="7"/>
  <c r="I11" i="7"/>
  <c r="J11" i="7"/>
  <c r="K11" i="7"/>
  <c r="L11" i="7"/>
  <c r="M11" i="7"/>
  <c r="N11" i="7"/>
  <c r="O11" i="7"/>
  <c r="P11" i="7"/>
  <c r="Q11" i="7"/>
  <c r="R11" i="7"/>
  <c r="S11" i="7"/>
  <c r="T11" i="7"/>
  <c r="U11" i="7"/>
  <c r="V11" i="7"/>
  <c r="W11" i="7"/>
  <c r="X11" i="7"/>
  <c r="Y11" i="7"/>
  <c r="Z11" i="7"/>
  <c r="AA11" i="7"/>
  <c r="AB11" i="7"/>
  <c r="C13" i="7"/>
  <c r="D13" i="7"/>
  <c r="E13" i="7"/>
  <c r="F13" i="7"/>
  <c r="G13" i="7"/>
  <c r="H13" i="7"/>
  <c r="I13" i="7"/>
  <c r="J13" i="7"/>
  <c r="K13" i="7"/>
  <c r="L13" i="7"/>
  <c r="M13" i="7"/>
  <c r="N13" i="7"/>
  <c r="O13" i="7"/>
  <c r="P13" i="7"/>
  <c r="Q13" i="7"/>
  <c r="R13" i="7"/>
  <c r="S13" i="7"/>
  <c r="T13" i="7"/>
  <c r="U13" i="7"/>
  <c r="V13" i="7"/>
  <c r="W13" i="7"/>
  <c r="X13" i="7"/>
  <c r="Y13" i="7"/>
  <c r="Z13" i="7"/>
  <c r="AA13" i="7"/>
  <c r="AB13" i="7"/>
  <c r="C14" i="7"/>
  <c r="D14" i="7"/>
  <c r="E14" i="7"/>
  <c r="F14" i="7"/>
  <c r="G14" i="7"/>
  <c r="H14" i="7"/>
  <c r="I14" i="7"/>
  <c r="J14" i="7"/>
  <c r="K14" i="7"/>
  <c r="L14" i="7"/>
  <c r="M14" i="7"/>
  <c r="N14" i="7"/>
  <c r="O14" i="7"/>
  <c r="P14" i="7"/>
  <c r="Q14" i="7"/>
  <c r="R14" i="7"/>
  <c r="S14" i="7"/>
  <c r="T14" i="7"/>
  <c r="U14" i="7"/>
  <c r="V14" i="7"/>
  <c r="W14" i="7"/>
  <c r="X14" i="7"/>
  <c r="Y14" i="7"/>
  <c r="Z14" i="7"/>
  <c r="AA14" i="7"/>
  <c r="AB14" i="7"/>
  <c r="D15" i="7"/>
  <c r="E15" i="7"/>
  <c r="F15" i="7"/>
  <c r="G15" i="7"/>
  <c r="H15" i="7"/>
  <c r="I15" i="7"/>
  <c r="J15" i="7"/>
  <c r="K15" i="7"/>
  <c r="L15" i="7"/>
  <c r="M15" i="7"/>
  <c r="N15" i="7"/>
  <c r="O15" i="7"/>
  <c r="P15" i="7"/>
  <c r="Q15" i="7"/>
  <c r="R15" i="7"/>
  <c r="S15" i="7"/>
  <c r="T15" i="7"/>
  <c r="U15" i="7"/>
  <c r="V15" i="7"/>
  <c r="W15" i="7"/>
  <c r="X15" i="7"/>
  <c r="Y15" i="7"/>
  <c r="Z15" i="7"/>
  <c r="AA15" i="7"/>
  <c r="AB15" i="7"/>
  <c r="C18" i="7"/>
  <c r="C21" i="7"/>
  <c r="D21" i="7"/>
  <c r="E21" i="7"/>
  <c r="F21" i="7"/>
  <c r="G21" i="7"/>
  <c r="H21" i="7"/>
  <c r="I21" i="7"/>
  <c r="J21" i="7"/>
  <c r="K21" i="7"/>
  <c r="L21" i="7"/>
  <c r="M21" i="7"/>
  <c r="N21" i="7"/>
  <c r="O21" i="7"/>
  <c r="P21" i="7"/>
  <c r="Q21" i="7"/>
  <c r="R21" i="7"/>
  <c r="S21" i="7"/>
  <c r="T21" i="7"/>
  <c r="U21" i="7"/>
  <c r="V21" i="7"/>
  <c r="W21" i="7"/>
  <c r="X21" i="7"/>
  <c r="Y21" i="7"/>
  <c r="Z21" i="7"/>
  <c r="AA21" i="7"/>
  <c r="AB21" i="7"/>
  <c r="D22" i="7"/>
  <c r="E22" i="7"/>
  <c r="F22" i="7"/>
  <c r="G22" i="7"/>
  <c r="H22" i="7"/>
  <c r="I22" i="7"/>
  <c r="J22" i="7"/>
  <c r="K22" i="7"/>
  <c r="L22" i="7"/>
  <c r="M22" i="7"/>
  <c r="N22" i="7"/>
  <c r="O22" i="7"/>
  <c r="P22" i="7"/>
  <c r="Q22" i="7"/>
  <c r="R22" i="7"/>
  <c r="S22" i="7"/>
  <c r="T22" i="7"/>
  <c r="U22" i="7"/>
  <c r="V22" i="7"/>
  <c r="W22" i="7"/>
  <c r="X22" i="7"/>
  <c r="Y22" i="7"/>
  <c r="Z22" i="7"/>
  <c r="AA22" i="7"/>
  <c r="AB22" i="7"/>
  <c r="C23" i="7"/>
  <c r="D23" i="7"/>
  <c r="E23" i="7"/>
  <c r="F23" i="7"/>
  <c r="G23" i="7"/>
  <c r="H23" i="7"/>
  <c r="I23" i="7"/>
  <c r="J23" i="7"/>
  <c r="K23" i="7"/>
  <c r="L23" i="7"/>
  <c r="M23" i="7"/>
  <c r="N23" i="7"/>
  <c r="O23" i="7"/>
  <c r="P23" i="7"/>
  <c r="Q23" i="7"/>
  <c r="R23" i="7"/>
  <c r="S23" i="7"/>
  <c r="T23" i="7"/>
  <c r="U23" i="7"/>
  <c r="V23" i="7"/>
  <c r="W23" i="7"/>
  <c r="X23" i="7"/>
  <c r="Y23" i="7"/>
  <c r="Z23" i="7"/>
  <c r="AA23" i="7"/>
  <c r="AB23" i="7"/>
  <c r="D28" i="7"/>
  <c r="E28" i="7"/>
  <c r="F28" i="7"/>
  <c r="G28" i="7"/>
  <c r="H28" i="7"/>
  <c r="I28" i="7"/>
  <c r="J28" i="7"/>
  <c r="K28" i="7"/>
  <c r="L28" i="7"/>
  <c r="M28" i="7"/>
  <c r="N28" i="7"/>
  <c r="O28" i="7"/>
  <c r="P28" i="7"/>
  <c r="Q28" i="7"/>
  <c r="R28" i="7"/>
  <c r="S28" i="7"/>
  <c r="T28" i="7"/>
  <c r="U28" i="7"/>
  <c r="V28" i="7"/>
  <c r="W28" i="7"/>
  <c r="X28" i="7"/>
  <c r="Y28" i="7"/>
  <c r="Z28" i="7"/>
  <c r="AA28" i="7"/>
  <c r="AB28" i="7"/>
  <c r="D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3" i="7"/>
  <c r="E33" i="7"/>
  <c r="F33" i="7"/>
  <c r="G33" i="7"/>
  <c r="H33" i="7"/>
  <c r="I33" i="7"/>
  <c r="J33" i="7"/>
  <c r="K33" i="7"/>
  <c r="L33" i="7"/>
  <c r="M33" i="7"/>
  <c r="N33" i="7"/>
  <c r="O33" i="7"/>
  <c r="P33" i="7"/>
  <c r="Q33" i="7"/>
  <c r="R33" i="7"/>
  <c r="S33" i="7"/>
  <c r="T33" i="7"/>
  <c r="U33" i="7"/>
  <c r="V33" i="7"/>
  <c r="W33" i="7"/>
  <c r="X33" i="7"/>
  <c r="Y33" i="7"/>
  <c r="Z33" i="7"/>
  <c r="AA33" i="7"/>
  <c r="AB33" i="7"/>
  <c r="D37" i="7"/>
  <c r="E37" i="7"/>
  <c r="F37" i="7"/>
  <c r="G37" i="7"/>
  <c r="H37" i="7"/>
  <c r="I37" i="7"/>
  <c r="J37" i="7"/>
  <c r="K37" i="7"/>
  <c r="L37" i="7"/>
  <c r="M37" i="7"/>
  <c r="N37" i="7"/>
  <c r="O37" i="7"/>
  <c r="P37" i="7"/>
  <c r="Q37" i="7"/>
  <c r="R37" i="7"/>
  <c r="S37" i="7"/>
  <c r="T37" i="7"/>
  <c r="U37" i="7"/>
  <c r="V37" i="7"/>
  <c r="W37" i="7"/>
  <c r="X37" i="7"/>
  <c r="Y37" i="7"/>
  <c r="Z37" i="7"/>
  <c r="AA37" i="7"/>
  <c r="AB37" i="7"/>
  <c r="D38" i="7"/>
  <c r="E38" i="7"/>
  <c r="F38" i="7"/>
  <c r="G38" i="7"/>
  <c r="H38" i="7"/>
  <c r="I38" i="7"/>
  <c r="J38" i="7"/>
  <c r="K38" i="7"/>
  <c r="L38" i="7"/>
  <c r="M38" i="7"/>
  <c r="N38" i="7"/>
  <c r="O38" i="7"/>
  <c r="P38" i="7"/>
  <c r="Q38" i="7"/>
  <c r="R38" i="7"/>
  <c r="S38" i="7"/>
  <c r="T38" i="7"/>
  <c r="U38" i="7"/>
  <c r="V38" i="7"/>
  <c r="W38" i="7"/>
  <c r="X38" i="7"/>
  <c r="Y38" i="7"/>
  <c r="Z38" i="7"/>
  <c r="AA38" i="7"/>
  <c r="AB38" i="7"/>
  <c r="D39" i="7"/>
  <c r="E39" i="7"/>
  <c r="F39" i="7"/>
  <c r="G39" i="7"/>
  <c r="H39" i="7"/>
  <c r="I39" i="7"/>
  <c r="J39" i="7"/>
  <c r="K39" i="7"/>
  <c r="L39" i="7"/>
  <c r="M39" i="7"/>
  <c r="N39" i="7"/>
  <c r="O39" i="7"/>
  <c r="P39" i="7"/>
  <c r="Q39" i="7"/>
  <c r="R39" i="7"/>
  <c r="S39" i="7"/>
  <c r="T39" i="7"/>
  <c r="U39" i="7"/>
  <c r="V39" i="7"/>
  <c r="W39" i="7"/>
  <c r="X39" i="7"/>
  <c r="Y39" i="7"/>
  <c r="Z39" i="7"/>
  <c r="AA39" i="7"/>
  <c r="AB39"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E65" i="4"/>
  <c r="F65" i="4"/>
  <c r="G65" i="4"/>
  <c r="H65" i="4"/>
  <c r="I65" i="4"/>
  <c r="J65" i="4"/>
  <c r="K65" i="4"/>
  <c r="L65" i="4"/>
  <c r="M65" i="4"/>
  <c r="N65" i="4"/>
  <c r="O65" i="4"/>
  <c r="P65" i="4"/>
  <c r="Q65" i="4"/>
  <c r="R65" i="4"/>
  <c r="S65" i="4"/>
  <c r="T65" i="4"/>
  <c r="U65" i="4"/>
  <c r="V65" i="4"/>
  <c r="W65" i="4"/>
  <c r="X65" i="4"/>
  <c r="Y65" i="4"/>
  <c r="Z65" i="4"/>
  <c r="AA65" i="4"/>
  <c r="AB65" i="4"/>
  <c r="AC65" i="4"/>
  <c r="E66" i="4"/>
  <c r="F66" i="4"/>
  <c r="G66" i="4"/>
  <c r="H66" i="4"/>
  <c r="I66" i="4"/>
  <c r="J66" i="4"/>
  <c r="K66" i="4"/>
  <c r="L66" i="4"/>
  <c r="M66" i="4"/>
  <c r="N66" i="4"/>
  <c r="O66" i="4"/>
  <c r="P66" i="4"/>
  <c r="Q66" i="4"/>
  <c r="R66" i="4"/>
  <c r="S66" i="4"/>
  <c r="T66" i="4"/>
  <c r="U66" i="4"/>
  <c r="V66" i="4"/>
  <c r="W66" i="4"/>
  <c r="X66" i="4"/>
  <c r="Y66" i="4"/>
  <c r="Z66" i="4"/>
  <c r="AA66" i="4"/>
  <c r="AB66" i="4"/>
  <c r="AC66" i="4"/>
  <c r="C68" i="4"/>
  <c r="E68" i="4"/>
  <c r="F68" i="4"/>
  <c r="G68" i="4"/>
  <c r="H68" i="4"/>
  <c r="I68" i="4"/>
  <c r="J68" i="4"/>
  <c r="K68" i="4"/>
  <c r="L68" i="4"/>
  <c r="M68" i="4"/>
  <c r="N68" i="4"/>
  <c r="O68" i="4"/>
  <c r="P68" i="4"/>
  <c r="Q68" i="4"/>
  <c r="R68" i="4"/>
  <c r="S68" i="4"/>
  <c r="T68" i="4"/>
  <c r="U68" i="4"/>
  <c r="V68" i="4"/>
  <c r="W68" i="4"/>
  <c r="X68" i="4"/>
  <c r="Y68" i="4"/>
  <c r="Z68" i="4"/>
  <c r="AA68" i="4"/>
  <c r="AB68" i="4"/>
  <c r="AC68"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C73" i="4"/>
  <c r="D74" i="4"/>
  <c r="B77" i="4"/>
  <c r="B78" i="4"/>
  <c r="B79" i="4"/>
  <c r="E79" i="4"/>
  <c r="F79" i="4"/>
  <c r="G79" i="4"/>
  <c r="H79" i="4"/>
  <c r="I79" i="4"/>
  <c r="J79" i="4"/>
  <c r="K79" i="4"/>
  <c r="L79" i="4"/>
  <c r="M79" i="4"/>
  <c r="N79" i="4"/>
  <c r="O79" i="4"/>
  <c r="P79" i="4"/>
  <c r="Q79" i="4"/>
  <c r="R79" i="4"/>
  <c r="S79" i="4"/>
  <c r="T79" i="4"/>
  <c r="U79" i="4"/>
  <c r="V79" i="4"/>
  <c r="W79" i="4"/>
  <c r="X79" i="4"/>
  <c r="Y79" i="4"/>
  <c r="Z79" i="4"/>
  <c r="AA79" i="4"/>
  <c r="AB79" i="4"/>
  <c r="AC79" i="4"/>
  <c r="E80" i="4"/>
  <c r="F80" i="4"/>
  <c r="G80" i="4"/>
  <c r="H80" i="4"/>
  <c r="I80" i="4"/>
  <c r="J80" i="4"/>
  <c r="K80" i="4"/>
  <c r="L80" i="4"/>
  <c r="M80" i="4"/>
  <c r="N80" i="4"/>
  <c r="O80" i="4"/>
  <c r="P80" i="4"/>
  <c r="Q80" i="4"/>
  <c r="R80" i="4"/>
  <c r="S80" i="4"/>
  <c r="T80" i="4"/>
  <c r="U80" i="4"/>
  <c r="V80" i="4"/>
  <c r="W80" i="4"/>
  <c r="X80" i="4"/>
  <c r="Y80" i="4"/>
  <c r="Z80" i="4"/>
  <c r="AA80" i="4"/>
  <c r="AB80" i="4"/>
  <c r="AC80" i="4"/>
  <c r="C82" i="4"/>
  <c r="E82" i="4"/>
  <c r="F82" i="4"/>
  <c r="G82" i="4"/>
  <c r="H82" i="4"/>
  <c r="I82" i="4"/>
  <c r="J82" i="4"/>
  <c r="K82" i="4"/>
  <c r="L82" i="4"/>
  <c r="M82" i="4"/>
  <c r="N82" i="4"/>
  <c r="O82" i="4"/>
  <c r="P82" i="4"/>
  <c r="Q82" i="4"/>
  <c r="R82" i="4"/>
  <c r="S82" i="4"/>
  <c r="T82" i="4"/>
  <c r="U82" i="4"/>
  <c r="V82" i="4"/>
  <c r="W82" i="4"/>
  <c r="X82" i="4"/>
  <c r="Y82" i="4"/>
  <c r="Z82" i="4"/>
  <c r="AA82" i="4"/>
  <c r="AB82" i="4"/>
  <c r="AC82" i="4"/>
  <c r="E83" i="4"/>
  <c r="F83" i="4"/>
  <c r="G83" i="4"/>
  <c r="H83" i="4"/>
  <c r="I83" i="4"/>
  <c r="J83" i="4"/>
  <c r="K83" i="4"/>
  <c r="L83" i="4"/>
  <c r="M83" i="4"/>
  <c r="N83" i="4"/>
  <c r="O83" i="4"/>
  <c r="P83" i="4"/>
  <c r="Q83" i="4"/>
  <c r="R83" i="4"/>
  <c r="S83" i="4"/>
  <c r="T83" i="4"/>
  <c r="U83" i="4"/>
  <c r="V83" i="4"/>
  <c r="W83" i="4"/>
  <c r="X83" i="4"/>
  <c r="Y83" i="4"/>
  <c r="Z83" i="4"/>
  <c r="AA83" i="4"/>
  <c r="AB83" i="4"/>
  <c r="AC83"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C87" i="4"/>
  <c r="D88" i="4"/>
  <c r="B91" i="4"/>
  <c r="B92" i="4"/>
  <c r="B93" i="4"/>
  <c r="E93" i="4"/>
  <c r="F93" i="4"/>
  <c r="G93" i="4"/>
  <c r="H93" i="4"/>
  <c r="I93" i="4"/>
  <c r="J93" i="4"/>
  <c r="K93" i="4"/>
  <c r="L93" i="4"/>
  <c r="M93" i="4"/>
  <c r="N93" i="4"/>
  <c r="O93" i="4"/>
  <c r="P93" i="4"/>
  <c r="Q93" i="4"/>
  <c r="R93" i="4"/>
  <c r="S93" i="4"/>
  <c r="T93" i="4"/>
  <c r="U93" i="4"/>
  <c r="V93" i="4"/>
  <c r="W93" i="4"/>
  <c r="X93" i="4"/>
  <c r="Y93" i="4"/>
  <c r="Z93" i="4"/>
  <c r="AA93" i="4"/>
  <c r="AB93" i="4"/>
  <c r="AC93" i="4"/>
  <c r="E94" i="4"/>
  <c r="F94" i="4"/>
  <c r="G94" i="4"/>
  <c r="H94" i="4"/>
  <c r="I94" i="4"/>
  <c r="J94" i="4"/>
  <c r="K94" i="4"/>
  <c r="L94" i="4"/>
  <c r="M94" i="4"/>
  <c r="N94" i="4"/>
  <c r="O94" i="4"/>
  <c r="P94" i="4"/>
  <c r="Q94" i="4"/>
  <c r="R94" i="4"/>
  <c r="S94" i="4"/>
  <c r="T94" i="4"/>
  <c r="U94" i="4"/>
  <c r="V94" i="4"/>
  <c r="W94" i="4"/>
  <c r="X94" i="4"/>
  <c r="Y94" i="4"/>
  <c r="Z94" i="4"/>
  <c r="AA94" i="4"/>
  <c r="AB94" i="4"/>
  <c r="AC94" i="4"/>
  <c r="C96" i="4"/>
  <c r="E96" i="4"/>
  <c r="F96" i="4"/>
  <c r="G96" i="4"/>
  <c r="H96" i="4"/>
  <c r="I96" i="4"/>
  <c r="J96" i="4"/>
  <c r="K96" i="4"/>
  <c r="L96" i="4"/>
  <c r="M96" i="4"/>
  <c r="N96" i="4"/>
  <c r="O96" i="4"/>
  <c r="P96" i="4"/>
  <c r="Q96" i="4"/>
  <c r="R96" i="4"/>
  <c r="S96" i="4"/>
  <c r="T96" i="4"/>
  <c r="U96" i="4"/>
  <c r="V96" i="4"/>
  <c r="W96" i="4"/>
  <c r="X96" i="4"/>
  <c r="Y96" i="4"/>
  <c r="Z96" i="4"/>
  <c r="AA96" i="4"/>
  <c r="AB96" i="4"/>
  <c r="AC96" i="4"/>
  <c r="E97" i="4"/>
  <c r="F97" i="4"/>
  <c r="G97" i="4"/>
  <c r="H97" i="4"/>
  <c r="I97" i="4"/>
  <c r="J97" i="4"/>
  <c r="K97" i="4"/>
  <c r="L97" i="4"/>
  <c r="M97" i="4"/>
  <c r="N97" i="4"/>
  <c r="O97" i="4"/>
  <c r="P97" i="4"/>
  <c r="Q97" i="4"/>
  <c r="R97" i="4"/>
  <c r="S97" i="4"/>
  <c r="T97" i="4"/>
  <c r="U97" i="4"/>
  <c r="V97" i="4"/>
  <c r="W97" i="4"/>
  <c r="X97" i="4"/>
  <c r="Y97" i="4"/>
  <c r="Z97" i="4"/>
  <c r="AA97" i="4"/>
  <c r="AB97" i="4"/>
  <c r="AC97" i="4"/>
  <c r="E98" i="4"/>
  <c r="F98" i="4"/>
  <c r="G98" i="4"/>
  <c r="H98" i="4"/>
  <c r="I98" i="4"/>
  <c r="J98" i="4"/>
  <c r="K98" i="4"/>
  <c r="L98" i="4"/>
  <c r="M98" i="4"/>
  <c r="N98" i="4"/>
  <c r="O98" i="4"/>
  <c r="P98" i="4"/>
  <c r="Q98" i="4"/>
  <c r="R98" i="4"/>
  <c r="S98" i="4"/>
  <c r="T98" i="4"/>
  <c r="U98" i="4"/>
  <c r="V98" i="4"/>
  <c r="W98" i="4"/>
  <c r="X98" i="4"/>
  <c r="Y98" i="4"/>
  <c r="Z98" i="4"/>
  <c r="AA98" i="4"/>
  <c r="AB98" i="4"/>
  <c r="AC98"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C101" i="4"/>
  <c r="D102"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5" i="9"/>
  <c r="D46" i="9"/>
  <c r="E46" i="9"/>
  <c r="F46" i="9"/>
  <c r="G46" i="9"/>
  <c r="H46" i="9"/>
  <c r="I46" i="9"/>
  <c r="J46" i="9"/>
  <c r="K46" i="9"/>
  <c r="L46" i="9"/>
  <c r="M46" i="9"/>
  <c r="N46" i="9"/>
  <c r="O46" i="9"/>
  <c r="P46" i="9"/>
  <c r="Q46" i="9"/>
  <c r="R46" i="9"/>
  <c r="S46" i="9"/>
  <c r="T46" i="9"/>
  <c r="U46" i="9"/>
  <c r="V46" i="9"/>
  <c r="W46" i="9"/>
  <c r="X46" i="9"/>
  <c r="Y46" i="9"/>
  <c r="Z46" i="9"/>
  <c r="AA46" i="9"/>
  <c r="AB46" i="9"/>
  <c r="D48" i="9"/>
  <c r="E48" i="9"/>
  <c r="F48" i="9"/>
  <c r="G48" i="9"/>
  <c r="H48" i="9"/>
  <c r="I48" i="9"/>
  <c r="J48" i="9"/>
  <c r="K48" i="9"/>
  <c r="L48" i="9"/>
  <c r="M48" i="9"/>
  <c r="N48" i="9"/>
  <c r="O48" i="9"/>
  <c r="P48" i="9"/>
  <c r="Q48" i="9"/>
  <c r="R48" i="9"/>
  <c r="S48" i="9"/>
  <c r="T48" i="9"/>
  <c r="U48" i="9"/>
  <c r="V48" i="9"/>
  <c r="W48" i="9"/>
  <c r="X48" i="9"/>
  <c r="Y48" i="9"/>
  <c r="Z48" i="9"/>
  <c r="AA48" i="9"/>
  <c r="AB48" i="9"/>
  <c r="C49" i="9"/>
  <c r="D49" i="9"/>
  <c r="E49" i="9"/>
  <c r="F49" i="9"/>
  <c r="G49" i="9"/>
  <c r="H49" i="9"/>
  <c r="I49" i="9"/>
  <c r="J49" i="9"/>
  <c r="K49" i="9"/>
  <c r="L49" i="9"/>
  <c r="M49" i="9"/>
  <c r="N49" i="9"/>
  <c r="O49" i="9"/>
  <c r="P49" i="9"/>
  <c r="Q49" i="9"/>
  <c r="R49" i="9"/>
  <c r="S49" i="9"/>
  <c r="T49" i="9"/>
  <c r="U49" i="9"/>
  <c r="V49" i="9"/>
  <c r="W49" i="9"/>
  <c r="X49" i="9"/>
  <c r="Y49" i="9"/>
  <c r="Z49" i="9"/>
  <c r="AA49" i="9"/>
  <c r="AB49" i="9"/>
  <c r="D51" i="9"/>
  <c r="E51" i="9"/>
  <c r="F51" i="9"/>
  <c r="G51" i="9"/>
  <c r="H51" i="9"/>
  <c r="I51" i="9"/>
  <c r="J51" i="9"/>
  <c r="K51" i="9"/>
  <c r="L51" i="9"/>
  <c r="M51" i="9"/>
  <c r="N51" i="9"/>
  <c r="O51" i="9"/>
  <c r="P51" i="9"/>
  <c r="Q51" i="9"/>
  <c r="R51" i="9"/>
  <c r="S51" i="9"/>
  <c r="T51" i="9"/>
  <c r="U51" i="9"/>
  <c r="V51" i="9"/>
  <c r="W51" i="9"/>
  <c r="X51" i="9"/>
  <c r="Y51" i="9"/>
  <c r="Z51" i="9"/>
  <c r="AA51" i="9"/>
  <c r="AB51" i="9"/>
  <c r="B73"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41" i="3"/>
  <c r="D41" i="3"/>
  <c r="E41" i="3"/>
  <c r="F41" i="3"/>
  <c r="G41" i="3"/>
  <c r="H41" i="3"/>
  <c r="I41" i="3"/>
  <c r="J41" i="3"/>
  <c r="K41" i="3"/>
  <c r="L41" i="3"/>
  <c r="M41" i="3"/>
  <c r="N41" i="3"/>
  <c r="O41" i="3"/>
  <c r="P41" i="3"/>
  <c r="Q41" i="3"/>
  <c r="R41" i="3"/>
  <c r="S41" i="3"/>
  <c r="T41" i="3"/>
  <c r="U41" i="3"/>
  <c r="V41" i="3"/>
  <c r="W41"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6" i="3"/>
  <c r="D46" i="3"/>
  <c r="E46" i="3"/>
  <c r="F46" i="3"/>
  <c r="G46" i="3"/>
  <c r="H46" i="3"/>
  <c r="I46" i="3"/>
  <c r="J46" i="3"/>
  <c r="K46" i="3"/>
  <c r="L46" i="3"/>
  <c r="M46" i="3"/>
  <c r="N46" i="3"/>
  <c r="O46" i="3"/>
  <c r="P46" i="3"/>
  <c r="Q46" i="3"/>
  <c r="R46" i="3"/>
  <c r="S46" i="3"/>
  <c r="T46" i="3"/>
  <c r="U46" i="3"/>
  <c r="V46" i="3"/>
  <c r="W46"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C13" i="2"/>
  <c r="D13" i="2"/>
  <c r="E13" i="2"/>
  <c r="F13" i="2"/>
  <c r="G13" i="2"/>
  <c r="H13" i="2"/>
  <c r="I13" i="2"/>
  <c r="J13" i="2"/>
  <c r="K13" i="2"/>
  <c r="L13" i="2"/>
  <c r="M13" i="2"/>
  <c r="N13" i="2"/>
  <c r="O13" i="2"/>
  <c r="P13" i="2"/>
  <c r="Q13" i="2"/>
  <c r="R13" i="2"/>
  <c r="S13" i="2"/>
  <c r="T13" i="2"/>
  <c r="U13" i="2"/>
  <c r="V13" i="2"/>
  <c r="W13" i="2"/>
  <c r="X13" i="2"/>
  <c r="Y13" i="2"/>
  <c r="Z13" i="2"/>
  <c r="AA13" i="2"/>
  <c r="B14"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D16" i="2"/>
  <c r="E16" i="2"/>
  <c r="F16" i="2"/>
  <c r="G16" i="2"/>
  <c r="H16" i="2"/>
  <c r="I16" i="2"/>
  <c r="J16" i="2"/>
  <c r="K16" i="2"/>
  <c r="L16" i="2"/>
  <c r="M16" i="2"/>
  <c r="N16" i="2"/>
  <c r="O16" i="2"/>
  <c r="P16" i="2"/>
  <c r="Q16" i="2"/>
  <c r="R16" i="2"/>
  <c r="S16" i="2"/>
  <c r="T16" i="2"/>
  <c r="U16" i="2"/>
  <c r="V16" i="2"/>
  <c r="W16" i="2"/>
  <c r="X16" i="2"/>
  <c r="Y16" i="2"/>
  <c r="Z16" i="2"/>
  <c r="AA16" i="2"/>
  <c r="T17" i="2"/>
  <c r="U17" i="2"/>
  <c r="V17" i="2"/>
  <c r="S18" i="2"/>
  <c r="T18" i="2"/>
  <c r="U18" i="2"/>
  <c r="V18" i="2"/>
  <c r="S19" i="2"/>
  <c r="T19" i="2"/>
  <c r="U19" i="2"/>
  <c r="V19" i="2"/>
  <c r="C22" i="2"/>
  <c r="D22" i="2"/>
  <c r="E22" i="2"/>
  <c r="F22" i="2"/>
  <c r="G22" i="2"/>
  <c r="H22" i="2"/>
  <c r="I22" i="2"/>
  <c r="J22" i="2"/>
  <c r="K22" i="2"/>
  <c r="L22" i="2"/>
  <c r="M22" i="2"/>
  <c r="N22" i="2"/>
  <c r="O22" i="2"/>
  <c r="P22" i="2"/>
  <c r="Q22" i="2"/>
  <c r="R22" i="2"/>
  <c r="S22" i="2"/>
  <c r="T22" i="2"/>
  <c r="U22" i="2"/>
  <c r="V22" i="2"/>
  <c r="W22" i="2"/>
  <c r="X22" i="2"/>
  <c r="Y22" i="2"/>
  <c r="Z22" i="2"/>
  <c r="AA22"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C26" i="2"/>
  <c r="D26" i="2"/>
  <c r="E26" i="2"/>
  <c r="F26" i="2"/>
  <c r="G26" i="2"/>
  <c r="H26" i="2"/>
  <c r="I26" i="2"/>
  <c r="J26" i="2"/>
  <c r="K26" i="2"/>
  <c r="L26" i="2"/>
  <c r="M26" i="2"/>
  <c r="N26" i="2"/>
  <c r="O26" i="2"/>
  <c r="P26" i="2"/>
  <c r="Q26" i="2"/>
  <c r="R26" i="2"/>
  <c r="S26" i="2"/>
  <c r="T26" i="2"/>
  <c r="U26" i="2"/>
  <c r="V26" i="2"/>
  <c r="W26" i="2"/>
  <c r="X26" i="2"/>
  <c r="Y26" i="2"/>
  <c r="Z26" i="2"/>
  <c r="AA26" i="2"/>
  <c r="B30" i="2"/>
  <c r="C30" i="2"/>
  <c r="D30" i="2"/>
  <c r="E30" i="2"/>
  <c r="F30" i="2"/>
  <c r="G30" i="2"/>
  <c r="H30" i="2"/>
  <c r="I30" i="2"/>
  <c r="J30" i="2"/>
  <c r="K30" i="2"/>
  <c r="L30" i="2"/>
  <c r="M30" i="2"/>
  <c r="N30" i="2"/>
  <c r="O30" i="2"/>
  <c r="P30" i="2"/>
  <c r="Q30" i="2"/>
  <c r="R30" i="2"/>
  <c r="S30" i="2"/>
  <c r="T30" i="2"/>
  <c r="U30" i="2"/>
  <c r="V30" i="2"/>
  <c r="W30" i="2"/>
  <c r="X30" i="2"/>
  <c r="Y30" i="2"/>
  <c r="Z30" i="2"/>
  <c r="B31" i="2"/>
  <c r="C31" i="2"/>
  <c r="D31" i="2"/>
  <c r="E31" i="2"/>
  <c r="F31" i="2"/>
  <c r="G31" i="2"/>
  <c r="H31" i="2"/>
  <c r="I31" i="2"/>
  <c r="J31" i="2"/>
  <c r="K31" i="2"/>
  <c r="L31" i="2"/>
  <c r="M31" i="2"/>
  <c r="N31" i="2"/>
  <c r="O31" i="2"/>
  <c r="P31" i="2"/>
  <c r="Q31" i="2"/>
  <c r="R31" i="2"/>
  <c r="S31" i="2"/>
  <c r="T31" i="2"/>
  <c r="U31" i="2"/>
  <c r="V31" i="2"/>
  <c r="W31" i="2"/>
  <c r="X31" i="2"/>
  <c r="Y31" i="2"/>
  <c r="Z31" i="2"/>
  <c r="AA31" i="2"/>
  <c r="B32" i="2"/>
  <c r="C32" i="2"/>
  <c r="D32" i="2"/>
  <c r="E32" i="2"/>
  <c r="F32" i="2"/>
  <c r="G32" i="2"/>
  <c r="H32" i="2"/>
  <c r="I32" i="2"/>
  <c r="J32" i="2"/>
  <c r="K32" i="2"/>
  <c r="L32" i="2"/>
  <c r="M32" i="2"/>
  <c r="N32" i="2"/>
  <c r="O32" i="2"/>
  <c r="P32" i="2"/>
  <c r="Q32" i="2"/>
  <c r="R32" i="2"/>
  <c r="S32" i="2"/>
  <c r="T32" i="2"/>
  <c r="U32" i="2"/>
  <c r="V32" i="2"/>
  <c r="W32" i="2"/>
  <c r="X32" i="2"/>
  <c r="Y32" i="2"/>
  <c r="Z32" i="2"/>
  <c r="B33" i="2"/>
  <c r="C33" i="2"/>
  <c r="D33" i="2"/>
  <c r="E33" i="2"/>
  <c r="F33" i="2"/>
  <c r="G33" i="2"/>
  <c r="H33" i="2"/>
  <c r="I33" i="2"/>
  <c r="J33" i="2"/>
  <c r="K33" i="2"/>
  <c r="L33" i="2"/>
  <c r="M33" i="2"/>
  <c r="N33" i="2"/>
  <c r="O33" i="2"/>
  <c r="P33" i="2"/>
  <c r="Q33" i="2"/>
  <c r="R33" i="2"/>
  <c r="S33" i="2"/>
  <c r="T33" i="2"/>
  <c r="U33" i="2"/>
  <c r="V33" i="2"/>
  <c r="W33" i="2"/>
  <c r="X33" i="2"/>
  <c r="Y33" i="2"/>
  <c r="Z33" i="2"/>
  <c r="AA33" i="2"/>
  <c r="B34" i="2"/>
  <c r="C34" i="2"/>
  <c r="D34" i="2"/>
  <c r="E34" i="2"/>
  <c r="F34" i="2"/>
  <c r="G34" i="2"/>
  <c r="H34" i="2"/>
  <c r="I34" i="2"/>
  <c r="J34" i="2"/>
  <c r="K34" i="2"/>
  <c r="L34" i="2"/>
  <c r="M34" i="2"/>
  <c r="N34" i="2"/>
  <c r="O34" i="2"/>
  <c r="P34" i="2"/>
  <c r="Q34" i="2"/>
  <c r="R34" i="2"/>
  <c r="S34" i="2"/>
  <c r="T34" i="2"/>
  <c r="U34" i="2"/>
  <c r="V34" i="2"/>
  <c r="W34" i="2"/>
  <c r="X34" i="2"/>
  <c r="Y34" i="2"/>
  <c r="Z34" i="2"/>
  <c r="B35" i="2"/>
  <c r="C35" i="2"/>
  <c r="D35" i="2"/>
  <c r="E35" i="2"/>
  <c r="F35" i="2"/>
  <c r="G35" i="2"/>
  <c r="H35" i="2"/>
  <c r="I35" i="2"/>
  <c r="J35" i="2"/>
  <c r="K35" i="2"/>
  <c r="L35" i="2"/>
  <c r="M35" i="2"/>
  <c r="N35" i="2"/>
  <c r="O35" i="2"/>
  <c r="P35" i="2"/>
  <c r="Q35" i="2"/>
  <c r="R35" i="2"/>
  <c r="S35" i="2"/>
  <c r="T35" i="2"/>
  <c r="U35" i="2"/>
  <c r="V35" i="2"/>
  <c r="W35" i="2"/>
  <c r="X35" i="2"/>
  <c r="Y35" i="2"/>
  <c r="Z35" i="2"/>
  <c r="C36" i="2"/>
  <c r="D36" i="2"/>
  <c r="E36" i="2"/>
  <c r="F36" i="2"/>
  <c r="G36" i="2"/>
  <c r="H36" i="2"/>
  <c r="I36" i="2"/>
  <c r="J36" i="2"/>
  <c r="K36" i="2"/>
  <c r="L36" i="2"/>
  <c r="M36" i="2"/>
  <c r="N36" i="2"/>
  <c r="O36" i="2"/>
  <c r="P36" i="2"/>
  <c r="Q36" i="2"/>
  <c r="R36" i="2"/>
  <c r="S36" i="2"/>
  <c r="T36" i="2"/>
  <c r="U36" i="2"/>
  <c r="V36" i="2"/>
  <c r="W36" i="2"/>
  <c r="X36" i="2"/>
  <c r="Y36" i="2"/>
  <c r="Z36" i="2"/>
  <c r="B39" i="2"/>
  <c r="C39" i="2"/>
  <c r="D39" i="2"/>
  <c r="E39" i="2"/>
  <c r="F39" i="2"/>
  <c r="G39" i="2"/>
  <c r="H39" i="2"/>
  <c r="I39" i="2"/>
  <c r="J39" i="2"/>
  <c r="K39" i="2"/>
  <c r="L39" i="2"/>
  <c r="M39" i="2"/>
  <c r="N39" i="2"/>
  <c r="O39" i="2"/>
  <c r="P39" i="2"/>
  <c r="Q39" i="2"/>
  <c r="R39" i="2"/>
  <c r="S39" i="2"/>
  <c r="T39" i="2"/>
  <c r="U39" i="2"/>
  <c r="V39" i="2"/>
  <c r="W39" i="2"/>
  <c r="X39" i="2"/>
  <c r="Y39" i="2"/>
  <c r="Z39" i="2"/>
  <c r="B40" i="2"/>
  <c r="C40" i="2"/>
  <c r="D40" i="2"/>
  <c r="E40" i="2"/>
  <c r="F40" i="2"/>
  <c r="G40" i="2"/>
  <c r="H40" i="2"/>
  <c r="I40" i="2"/>
  <c r="J40" i="2"/>
  <c r="K40" i="2"/>
  <c r="L40" i="2"/>
  <c r="M40" i="2"/>
  <c r="N40" i="2"/>
  <c r="O40" i="2"/>
  <c r="P40" i="2"/>
  <c r="Q40" i="2"/>
  <c r="R40" i="2"/>
  <c r="S40" i="2"/>
  <c r="T40" i="2"/>
  <c r="U40" i="2"/>
  <c r="V40" i="2"/>
  <c r="W40" i="2"/>
  <c r="X40" i="2"/>
  <c r="Y40" i="2"/>
  <c r="Z40" i="2"/>
  <c r="B43" i="2"/>
  <c r="C43" i="2"/>
  <c r="D43" i="2"/>
  <c r="E43" i="2"/>
  <c r="F43" i="2"/>
  <c r="G43" i="2"/>
  <c r="H43" i="2"/>
  <c r="I43" i="2"/>
  <c r="J43" i="2"/>
  <c r="K43" i="2"/>
  <c r="L43" i="2"/>
  <c r="M43" i="2"/>
  <c r="N43" i="2"/>
  <c r="O43" i="2"/>
  <c r="P43" i="2"/>
  <c r="Q43" i="2"/>
  <c r="R43" i="2"/>
  <c r="S43" i="2"/>
  <c r="T43" i="2"/>
  <c r="U43" i="2"/>
  <c r="V43" i="2"/>
  <c r="W43" i="2"/>
  <c r="X43" i="2"/>
  <c r="Y43" i="2"/>
  <c r="Z43" i="2"/>
  <c r="B44" i="2"/>
  <c r="C44" i="2"/>
  <c r="D44" i="2"/>
  <c r="E44" i="2"/>
  <c r="F44" i="2"/>
  <c r="G44" i="2"/>
  <c r="H44" i="2"/>
  <c r="I44" i="2"/>
  <c r="J44" i="2"/>
  <c r="K44" i="2"/>
  <c r="L44" i="2"/>
  <c r="M44" i="2"/>
  <c r="N44" i="2"/>
  <c r="O44" i="2"/>
  <c r="P44" i="2"/>
  <c r="Q44" i="2"/>
  <c r="R44" i="2"/>
  <c r="S44" i="2"/>
  <c r="T44" i="2"/>
  <c r="U44" i="2"/>
  <c r="V44" i="2"/>
  <c r="W44" i="2"/>
  <c r="X44" i="2"/>
  <c r="Y44" i="2"/>
  <c r="Z44" i="2"/>
  <c r="B45" i="2"/>
  <c r="C45" i="2"/>
  <c r="D45" i="2"/>
  <c r="E45" i="2"/>
  <c r="F45" i="2"/>
  <c r="G45" i="2"/>
  <c r="H45" i="2"/>
  <c r="I45" i="2"/>
  <c r="J45" i="2"/>
  <c r="K45" i="2"/>
  <c r="L45" i="2"/>
  <c r="M45" i="2"/>
  <c r="N45" i="2"/>
  <c r="O45" i="2"/>
  <c r="P45" i="2"/>
  <c r="Q45" i="2"/>
  <c r="R45" i="2"/>
  <c r="S45" i="2"/>
  <c r="T45" i="2"/>
  <c r="U45" i="2"/>
  <c r="V45" i="2"/>
  <c r="W45" i="2"/>
  <c r="X45" i="2"/>
  <c r="Y45" i="2"/>
  <c r="Z45" i="2"/>
  <c r="B46" i="2"/>
  <c r="C46" i="2"/>
  <c r="D46" i="2"/>
  <c r="E46" i="2"/>
  <c r="F46" i="2"/>
  <c r="G46" i="2"/>
  <c r="H46" i="2"/>
  <c r="I46" i="2"/>
  <c r="J46" i="2"/>
  <c r="K46" i="2"/>
  <c r="L46" i="2"/>
  <c r="M46" i="2"/>
  <c r="N46" i="2"/>
  <c r="O46" i="2"/>
  <c r="P46" i="2"/>
  <c r="Q46" i="2"/>
  <c r="R46" i="2"/>
  <c r="S46" i="2"/>
  <c r="T46" i="2"/>
  <c r="U46" i="2"/>
  <c r="V46" i="2"/>
  <c r="W46" i="2"/>
  <c r="X46" i="2"/>
  <c r="Y46" i="2"/>
  <c r="Z46" i="2"/>
  <c r="B48" i="2"/>
  <c r="C48" i="2"/>
  <c r="D48" i="2"/>
  <c r="E48" i="2"/>
  <c r="F48" i="2"/>
  <c r="G48" i="2"/>
  <c r="H48" i="2"/>
  <c r="I48" i="2"/>
  <c r="J48" i="2"/>
  <c r="K48" i="2"/>
  <c r="L48" i="2"/>
  <c r="M48" i="2"/>
  <c r="N48" i="2"/>
  <c r="O48" i="2"/>
  <c r="P48" i="2"/>
  <c r="Q48" i="2"/>
  <c r="R48" i="2"/>
  <c r="S48" i="2"/>
  <c r="T48" i="2"/>
  <c r="U48" i="2"/>
  <c r="V48" i="2"/>
  <c r="W48" i="2"/>
  <c r="X48" i="2"/>
  <c r="Y48" i="2"/>
  <c r="Z48" i="2"/>
  <c r="B49" i="2"/>
  <c r="C49" i="2"/>
  <c r="D49" i="2"/>
  <c r="E49" i="2"/>
  <c r="F49" i="2"/>
  <c r="G49" i="2"/>
  <c r="H49" i="2"/>
  <c r="I49" i="2"/>
  <c r="J49" i="2"/>
  <c r="K49" i="2"/>
  <c r="L49" i="2"/>
  <c r="M49" i="2"/>
  <c r="N49" i="2"/>
  <c r="O49" i="2"/>
  <c r="P49" i="2"/>
  <c r="Q49" i="2"/>
  <c r="R49" i="2"/>
  <c r="S49" i="2"/>
  <c r="T49" i="2"/>
  <c r="U49" i="2"/>
  <c r="V49" i="2"/>
  <c r="W49" i="2"/>
  <c r="X49" i="2"/>
  <c r="Y49" i="2"/>
  <c r="Z49" i="2"/>
  <c r="B50" i="2"/>
  <c r="C50" i="2"/>
  <c r="D50" i="2"/>
  <c r="E50" i="2"/>
  <c r="F50" i="2"/>
  <c r="G50" i="2"/>
  <c r="H50" i="2"/>
  <c r="I50" i="2"/>
  <c r="J50" i="2"/>
  <c r="K50" i="2"/>
  <c r="L50" i="2"/>
  <c r="M50" i="2"/>
  <c r="N50" i="2"/>
  <c r="O50" i="2"/>
  <c r="P50" i="2"/>
  <c r="Q50" i="2"/>
  <c r="R50" i="2"/>
  <c r="S50" i="2"/>
  <c r="T50" i="2"/>
  <c r="U50" i="2"/>
  <c r="V50" i="2"/>
  <c r="W50" i="2"/>
  <c r="X50" i="2"/>
  <c r="Y50" i="2"/>
  <c r="Z50" i="2"/>
  <c r="B51" i="2"/>
  <c r="C51" i="2"/>
  <c r="D51" i="2"/>
  <c r="E51" i="2"/>
  <c r="F51" i="2"/>
  <c r="G51" i="2"/>
  <c r="H51" i="2"/>
  <c r="I51" i="2"/>
  <c r="J51" i="2"/>
  <c r="K51" i="2"/>
  <c r="L51" i="2"/>
  <c r="M51" i="2"/>
  <c r="N51" i="2"/>
  <c r="O51" i="2"/>
  <c r="P51" i="2"/>
  <c r="Q51" i="2"/>
  <c r="R51" i="2"/>
  <c r="S51" i="2"/>
  <c r="T51" i="2"/>
  <c r="U51" i="2"/>
  <c r="V51" i="2"/>
  <c r="W51" i="2"/>
  <c r="X51" i="2"/>
  <c r="Y51" i="2"/>
  <c r="Z51" i="2"/>
  <c r="B52" i="2"/>
  <c r="C52" i="2"/>
  <c r="D52" i="2"/>
  <c r="E52" i="2"/>
  <c r="F52" i="2"/>
  <c r="G52" i="2"/>
  <c r="H52" i="2"/>
  <c r="I52" i="2"/>
  <c r="J52" i="2"/>
  <c r="K52" i="2"/>
  <c r="L52" i="2"/>
  <c r="M52" i="2"/>
  <c r="N52" i="2"/>
  <c r="O52" i="2"/>
  <c r="P52" i="2"/>
  <c r="Q52" i="2"/>
  <c r="R52" i="2"/>
  <c r="S52" i="2"/>
  <c r="T52" i="2"/>
  <c r="U52" i="2"/>
  <c r="V52" i="2"/>
  <c r="W52" i="2"/>
  <c r="X52" i="2"/>
  <c r="Y52" i="2"/>
  <c r="Z52" i="2"/>
  <c r="B54" i="2"/>
  <c r="C54" i="2"/>
  <c r="D54" i="2"/>
  <c r="E54" i="2"/>
  <c r="F54" i="2"/>
  <c r="G54" i="2"/>
  <c r="H54" i="2"/>
  <c r="I54" i="2"/>
  <c r="J54" i="2"/>
  <c r="K54" i="2"/>
  <c r="L54" i="2"/>
  <c r="M54" i="2"/>
  <c r="N54" i="2"/>
  <c r="O54" i="2"/>
  <c r="P54" i="2"/>
  <c r="Q54" i="2"/>
  <c r="R54" i="2"/>
  <c r="S54" i="2"/>
  <c r="T54" i="2"/>
  <c r="U54" i="2"/>
  <c r="V54" i="2"/>
  <c r="W54" i="2"/>
  <c r="X54" i="2"/>
  <c r="Y54" i="2"/>
  <c r="Z54" i="2"/>
  <c r="B55" i="2"/>
  <c r="C55" i="2"/>
  <c r="D55" i="2"/>
  <c r="E55" i="2"/>
  <c r="F55" i="2"/>
  <c r="G55" i="2"/>
  <c r="H55" i="2"/>
  <c r="I55" i="2"/>
  <c r="J55" i="2"/>
  <c r="K55" i="2"/>
  <c r="L55" i="2"/>
  <c r="M55" i="2"/>
  <c r="N55" i="2"/>
  <c r="O55" i="2"/>
  <c r="P55" i="2"/>
  <c r="Q55" i="2"/>
  <c r="R55" i="2"/>
  <c r="S55" i="2"/>
  <c r="T55" i="2"/>
  <c r="U55" i="2"/>
  <c r="V55" i="2"/>
  <c r="W55" i="2"/>
  <c r="X55" i="2"/>
  <c r="Y55" i="2"/>
  <c r="Z55" i="2"/>
  <c r="B58" i="2"/>
  <c r="C58" i="2"/>
  <c r="D58" i="2"/>
  <c r="E58" i="2"/>
  <c r="F58" i="2"/>
  <c r="G58" i="2"/>
  <c r="H58" i="2"/>
  <c r="I58" i="2"/>
  <c r="J58" i="2"/>
  <c r="K58" i="2"/>
  <c r="L58" i="2"/>
  <c r="M58" i="2"/>
  <c r="N58" i="2"/>
  <c r="O58" i="2"/>
  <c r="P58" i="2"/>
  <c r="Q58" i="2"/>
  <c r="R58" i="2"/>
  <c r="S58" i="2"/>
  <c r="T58" i="2"/>
  <c r="U58" i="2"/>
  <c r="V58" i="2"/>
  <c r="W58" i="2"/>
  <c r="X58" i="2"/>
  <c r="Y58" i="2"/>
  <c r="Z58" i="2"/>
  <c r="B59" i="2"/>
  <c r="C59" i="2"/>
  <c r="D59" i="2"/>
  <c r="E59" i="2"/>
  <c r="F59" i="2"/>
  <c r="G59" i="2"/>
  <c r="H59" i="2"/>
  <c r="I59" i="2"/>
  <c r="J59" i="2"/>
  <c r="K59" i="2"/>
  <c r="L59" i="2"/>
  <c r="M59" i="2"/>
  <c r="N59" i="2"/>
  <c r="O59" i="2"/>
  <c r="P59" i="2"/>
  <c r="Q59" i="2"/>
  <c r="R59" i="2"/>
  <c r="S59" i="2"/>
  <c r="T59" i="2"/>
  <c r="U59" i="2"/>
  <c r="V59" i="2"/>
  <c r="W59" i="2"/>
  <c r="X59" i="2"/>
  <c r="Y59" i="2"/>
  <c r="Z59" i="2"/>
  <c r="B60" i="2"/>
  <c r="C60" i="2"/>
  <c r="D60" i="2"/>
  <c r="E60" i="2"/>
  <c r="F60" i="2"/>
  <c r="G60" i="2"/>
  <c r="H60" i="2"/>
  <c r="I60" i="2"/>
  <c r="J60" i="2"/>
  <c r="K60" i="2"/>
  <c r="L60" i="2"/>
  <c r="M60" i="2"/>
  <c r="N60" i="2"/>
  <c r="O60" i="2"/>
  <c r="P60" i="2"/>
  <c r="Q60" i="2"/>
  <c r="R60" i="2"/>
  <c r="S60" i="2"/>
  <c r="T60" i="2"/>
  <c r="U60" i="2"/>
  <c r="V60" i="2"/>
  <c r="W60" i="2"/>
  <c r="X60" i="2"/>
  <c r="Y60" i="2"/>
  <c r="Z60" i="2"/>
  <c r="B61" i="2"/>
  <c r="C61" i="2"/>
  <c r="D61" i="2"/>
  <c r="E61" i="2"/>
  <c r="F61" i="2"/>
  <c r="G61" i="2"/>
  <c r="H61" i="2"/>
  <c r="I61" i="2"/>
  <c r="J61" i="2"/>
  <c r="K61" i="2"/>
  <c r="L61" i="2"/>
  <c r="M61" i="2"/>
  <c r="N61" i="2"/>
  <c r="O61" i="2"/>
  <c r="P61" i="2"/>
  <c r="Q61" i="2"/>
  <c r="R61" i="2"/>
  <c r="S61" i="2"/>
  <c r="T61" i="2"/>
  <c r="U61" i="2"/>
  <c r="V61" i="2"/>
  <c r="W61" i="2"/>
  <c r="X61" i="2"/>
  <c r="Y61" i="2"/>
  <c r="Z61" i="2"/>
  <c r="B65" i="2"/>
  <c r="C65" i="2"/>
  <c r="D65" i="2"/>
  <c r="E65" i="2"/>
  <c r="F65" i="2"/>
  <c r="G65" i="2"/>
  <c r="H65" i="2"/>
  <c r="I65" i="2"/>
  <c r="J65" i="2"/>
  <c r="K65" i="2"/>
  <c r="L65" i="2"/>
  <c r="M65" i="2"/>
  <c r="N65" i="2"/>
  <c r="O65" i="2"/>
  <c r="P65" i="2"/>
  <c r="Q65" i="2"/>
  <c r="R65" i="2"/>
  <c r="S65" i="2"/>
  <c r="T65" i="2"/>
  <c r="U65" i="2"/>
  <c r="V65" i="2"/>
  <c r="W65" i="2"/>
  <c r="X65" i="2"/>
  <c r="B66" i="2"/>
  <c r="C66" i="2"/>
  <c r="D66" i="2"/>
  <c r="E66" i="2"/>
  <c r="F66" i="2"/>
  <c r="G66" i="2"/>
  <c r="H66" i="2"/>
  <c r="I66" i="2"/>
  <c r="J66" i="2"/>
  <c r="K66" i="2"/>
  <c r="L66" i="2"/>
  <c r="M66" i="2"/>
  <c r="N66" i="2"/>
  <c r="O66" i="2"/>
  <c r="P66" i="2"/>
  <c r="Q66" i="2"/>
  <c r="R66" i="2"/>
  <c r="S66" i="2"/>
  <c r="T66" i="2"/>
  <c r="U66" i="2"/>
  <c r="V66" i="2"/>
  <c r="W66" i="2"/>
  <c r="X66" i="2"/>
  <c r="B67" i="2"/>
  <c r="C67" i="2"/>
  <c r="D67" i="2"/>
  <c r="E67" i="2"/>
  <c r="F67" i="2"/>
  <c r="G67" i="2"/>
  <c r="H67" i="2"/>
  <c r="I67" i="2"/>
  <c r="J67" i="2"/>
  <c r="K67" i="2"/>
  <c r="L67" i="2"/>
  <c r="M67" i="2"/>
  <c r="N67" i="2"/>
  <c r="O67" i="2"/>
  <c r="P67" i="2"/>
  <c r="Q67" i="2"/>
  <c r="R67" i="2"/>
  <c r="S67" i="2"/>
  <c r="T67" i="2"/>
  <c r="U67" i="2"/>
  <c r="V67" i="2"/>
  <c r="B68" i="2"/>
  <c r="C68" i="2"/>
  <c r="D68" i="2"/>
  <c r="E68" i="2"/>
  <c r="F68" i="2"/>
  <c r="G68" i="2"/>
  <c r="H68" i="2"/>
  <c r="I68" i="2"/>
  <c r="J68" i="2"/>
  <c r="K68" i="2"/>
  <c r="L68" i="2"/>
  <c r="M68" i="2"/>
  <c r="N68" i="2"/>
  <c r="O68" i="2"/>
  <c r="P68" i="2"/>
  <c r="Q68" i="2"/>
  <c r="R68" i="2"/>
  <c r="S68" i="2"/>
  <c r="T68" i="2"/>
  <c r="U68" i="2"/>
  <c r="V68" i="2"/>
  <c r="B74" i="2"/>
  <c r="C74" i="2"/>
  <c r="D74" i="2"/>
  <c r="E74" i="2"/>
  <c r="F74" i="2"/>
  <c r="G74" i="2"/>
  <c r="H74" i="2"/>
  <c r="I74" i="2"/>
  <c r="J74" i="2"/>
  <c r="K74" i="2"/>
  <c r="L74" i="2"/>
  <c r="M74" i="2"/>
  <c r="N74" i="2"/>
  <c r="O74" i="2"/>
  <c r="P74" i="2"/>
  <c r="Q74" i="2"/>
  <c r="R74" i="2"/>
  <c r="S74" i="2"/>
  <c r="T74" i="2"/>
  <c r="U74" i="2"/>
  <c r="V74" i="2"/>
  <c r="C75" i="2"/>
  <c r="D75" i="2"/>
  <c r="E75" i="2"/>
  <c r="F75" i="2"/>
  <c r="G75" i="2"/>
  <c r="H75" i="2"/>
  <c r="I75" i="2"/>
  <c r="J75" i="2"/>
  <c r="K75" i="2"/>
  <c r="L75" i="2"/>
  <c r="M75" i="2"/>
  <c r="N75" i="2"/>
  <c r="O75" i="2"/>
  <c r="P75" i="2"/>
  <c r="Q75" i="2"/>
  <c r="R75" i="2"/>
  <c r="S75" i="2"/>
  <c r="T75" i="2"/>
  <c r="U75" i="2"/>
  <c r="V75" i="2"/>
  <c r="C77" i="2"/>
  <c r="D77" i="2"/>
  <c r="E77" i="2"/>
  <c r="F77" i="2"/>
  <c r="G77" i="2"/>
  <c r="H77" i="2"/>
  <c r="I77" i="2"/>
  <c r="J77" i="2"/>
  <c r="K77" i="2"/>
  <c r="L77" i="2"/>
  <c r="M77" i="2"/>
  <c r="N77" i="2"/>
  <c r="O77" i="2"/>
  <c r="P77" i="2"/>
  <c r="Q77" i="2"/>
  <c r="R77" i="2"/>
  <c r="S77" i="2"/>
  <c r="T77" i="2"/>
  <c r="U77" i="2"/>
  <c r="V77" i="2"/>
  <c r="B1" i="1"/>
  <c r="A4" i="1"/>
  <c r="U6" i="1"/>
  <c r="U7" i="1"/>
  <c r="B8" i="1"/>
  <c r="C8" i="1"/>
  <c r="M8" i="1"/>
  <c r="N8" i="1"/>
  <c r="P8" i="1"/>
  <c r="B9" i="1"/>
  <c r="C9" i="1"/>
  <c r="L9" i="1"/>
  <c r="M9" i="1"/>
  <c r="P9" i="1"/>
  <c r="M10" i="1"/>
  <c r="N10" i="1"/>
  <c r="P10" i="1"/>
  <c r="U10" i="1"/>
  <c r="C11" i="1"/>
  <c r="I11" i="1"/>
  <c r="L11" i="1"/>
  <c r="N11" i="1"/>
  <c r="P11" i="1"/>
  <c r="I13" i="1"/>
  <c r="U13" i="1"/>
  <c r="M15" i="1"/>
  <c r="N15" i="1"/>
  <c r="O15" i="1"/>
  <c r="I16" i="1"/>
  <c r="M16" i="1"/>
  <c r="N16" i="1"/>
  <c r="O16" i="1"/>
  <c r="M17" i="1"/>
  <c r="N17" i="1"/>
  <c r="O17" i="1"/>
  <c r="G18" i="1"/>
  <c r="I18" i="1"/>
  <c r="P20" i="1"/>
  <c r="U20" i="1"/>
  <c r="F21" i="1"/>
  <c r="P21" i="1"/>
  <c r="U21" i="1"/>
  <c r="F22" i="1"/>
  <c r="N22" i="1"/>
  <c r="P22" i="1"/>
  <c r="U22" i="1"/>
  <c r="N23" i="1"/>
  <c r="P23" i="1"/>
  <c r="U23" i="1"/>
  <c r="P24" i="1"/>
  <c r="U24" i="1"/>
  <c r="N25" i="1"/>
  <c r="P25" i="1"/>
  <c r="C26" i="1"/>
  <c r="I27" i="1"/>
  <c r="I28" i="1"/>
  <c r="C30" i="1"/>
  <c r="N33" i="1"/>
  <c r="P33" i="1"/>
  <c r="P34" i="1"/>
  <c r="P35" i="1"/>
  <c r="P36" i="1"/>
  <c r="F37" i="1"/>
  <c r="G37" i="1"/>
  <c r="H37" i="1"/>
  <c r="I37" i="1"/>
  <c r="P37" i="1"/>
  <c r="I38" i="1"/>
  <c r="P38" i="1"/>
  <c r="F39" i="1"/>
  <c r="G39" i="1"/>
  <c r="H39" i="1"/>
  <c r="I39" i="1"/>
  <c r="N39" i="1"/>
  <c r="P39" i="1"/>
  <c r="F40" i="1"/>
  <c r="G40" i="1"/>
  <c r="H40" i="1"/>
  <c r="I40" i="1"/>
  <c r="I41" i="1"/>
  <c r="C42" i="1"/>
  <c r="F43" i="1"/>
  <c r="G43" i="1"/>
  <c r="H43" i="1"/>
  <c r="I43" i="1"/>
  <c r="L46" i="1"/>
  <c r="N46" i="1"/>
  <c r="P46" i="1"/>
  <c r="I47" i="1"/>
  <c r="C48" i="1"/>
  <c r="L48" i="1"/>
  <c r="N48" i="1"/>
  <c r="P48" i="1"/>
  <c r="C49" i="1"/>
  <c r="L49" i="1"/>
  <c r="N49" i="1"/>
  <c r="P49" i="1"/>
  <c r="L50" i="1"/>
  <c r="N50" i="1"/>
  <c r="P50" i="1"/>
  <c r="H51" i="1"/>
  <c r="C52" i="1"/>
  <c r="L52" i="1"/>
  <c r="N52" i="1"/>
  <c r="P52" i="1"/>
  <c r="C53" i="1"/>
  <c r="L53" i="1"/>
  <c r="N53" i="1"/>
  <c r="P53" i="1"/>
  <c r="L54" i="1"/>
  <c r="N54" i="1"/>
  <c r="P54" i="1"/>
  <c r="L55" i="1"/>
  <c r="N55" i="1"/>
  <c r="P55" i="1"/>
  <c r="L56" i="1"/>
  <c r="N56" i="1"/>
  <c r="P56" i="1"/>
  <c r="C57" i="1"/>
  <c r="L57" i="1"/>
  <c r="C59" i="1"/>
  <c r="G59" i="1"/>
  <c r="I59" i="1"/>
  <c r="G60" i="1"/>
  <c r="I60" i="1"/>
  <c r="N60" i="1"/>
  <c r="G61" i="1"/>
  <c r="I61" i="1"/>
  <c r="N65" i="1"/>
  <c r="G66" i="1"/>
  <c r="I66" i="1"/>
  <c r="G67" i="1"/>
  <c r="I67" i="1"/>
  <c r="G68" i="1"/>
  <c r="I68" i="1"/>
  <c r="O69" i="1"/>
  <c r="F87" i="1"/>
  <c r="F88" i="1"/>
  <c r="F89" i="1"/>
  <c r="E93" i="1"/>
  <c r="F93" i="1"/>
  <c r="G93" i="1"/>
  <c r="H93"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4" i="8"/>
  <c r="F4" i="8"/>
  <c r="G4" i="8"/>
  <c r="H4" i="8"/>
  <c r="I4" i="8"/>
  <c r="J4" i="8"/>
  <c r="K4" i="8"/>
  <c r="L4" i="8"/>
  <c r="M4" i="8"/>
  <c r="N4" i="8"/>
  <c r="O4" i="8"/>
  <c r="P4" i="8"/>
  <c r="Q4" i="8"/>
  <c r="R4" i="8"/>
  <c r="S4" i="8"/>
  <c r="T4" i="8"/>
  <c r="U4" i="8"/>
  <c r="V4" i="8"/>
  <c r="W4" i="8"/>
  <c r="X4" i="8"/>
  <c r="Y4" i="8"/>
  <c r="Z4" i="8"/>
  <c r="AA4" i="8"/>
  <c r="AB4" i="8"/>
  <c r="D5" i="8"/>
  <c r="E5" i="8"/>
  <c r="F5" i="8"/>
  <c r="G5" i="8"/>
  <c r="H5" i="8"/>
  <c r="I5" i="8"/>
  <c r="J5" i="8"/>
  <c r="K5" i="8"/>
  <c r="L5" i="8"/>
  <c r="M5" i="8"/>
  <c r="N5" i="8"/>
  <c r="O5" i="8"/>
  <c r="P5" i="8"/>
  <c r="Q5" i="8"/>
  <c r="R5" i="8"/>
  <c r="S5" i="8"/>
  <c r="T5" i="8"/>
  <c r="U5" i="8"/>
  <c r="V5" i="8"/>
  <c r="W5" i="8"/>
  <c r="X5" i="8"/>
  <c r="Y5" i="8"/>
  <c r="Z5" i="8"/>
  <c r="AA5" i="8"/>
  <c r="AB5"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1" i="8"/>
  <c r="E11" i="8"/>
  <c r="F11" i="8"/>
  <c r="G11" i="8"/>
  <c r="H11" i="8"/>
  <c r="I11" i="8"/>
  <c r="J11" i="8"/>
  <c r="K11" i="8"/>
  <c r="L11" i="8"/>
  <c r="M11" i="8"/>
  <c r="N11" i="8"/>
  <c r="O11" i="8"/>
  <c r="P11" i="8"/>
  <c r="Q11" i="8"/>
  <c r="R11" i="8"/>
  <c r="S11" i="8"/>
  <c r="T11" i="8"/>
  <c r="U11" i="8"/>
  <c r="V11" i="8"/>
  <c r="W11" i="8"/>
  <c r="X11" i="8"/>
  <c r="Y11" i="8"/>
  <c r="Z11" i="8"/>
  <c r="AA11" i="8"/>
  <c r="AB11" i="8"/>
  <c r="D15" i="8"/>
  <c r="E15" i="8"/>
  <c r="F15" i="8"/>
  <c r="G15" i="8"/>
  <c r="H15" i="8"/>
  <c r="I15" i="8"/>
  <c r="J15" i="8"/>
  <c r="K15" i="8"/>
  <c r="L15" i="8"/>
  <c r="M15" i="8"/>
  <c r="N15" i="8"/>
  <c r="O15" i="8"/>
  <c r="P15" i="8"/>
  <c r="Q15" i="8"/>
  <c r="R15" i="8"/>
  <c r="S15" i="8"/>
  <c r="T15" i="8"/>
  <c r="U15" i="8"/>
  <c r="V15" i="8"/>
  <c r="W15" i="8"/>
  <c r="X15" i="8"/>
  <c r="Y15" i="8"/>
  <c r="Z15" i="8"/>
  <c r="AA15" i="8"/>
  <c r="AB15" i="8"/>
  <c r="D16" i="8"/>
  <c r="E16" i="8"/>
  <c r="F16" i="8"/>
  <c r="G16" i="8"/>
  <c r="H16" i="8"/>
  <c r="I16" i="8"/>
  <c r="J16" i="8"/>
  <c r="K16" i="8"/>
  <c r="L16" i="8"/>
  <c r="M16" i="8"/>
  <c r="N16" i="8"/>
  <c r="O16" i="8"/>
  <c r="P16" i="8"/>
  <c r="Q16" i="8"/>
  <c r="R16" i="8"/>
  <c r="S16" i="8"/>
  <c r="T16" i="8"/>
  <c r="U16" i="8"/>
  <c r="V16" i="8"/>
  <c r="W16" i="8"/>
  <c r="X16" i="8"/>
  <c r="Y16" i="8"/>
  <c r="Z16" i="8"/>
  <c r="AA16" i="8"/>
  <c r="AB16" i="8"/>
  <c r="D17" i="8"/>
  <c r="E17" i="8"/>
  <c r="F17" i="8"/>
  <c r="G17" i="8"/>
  <c r="H17" i="8"/>
  <c r="I17" i="8"/>
  <c r="J17" i="8"/>
  <c r="K17" i="8"/>
  <c r="L17" i="8"/>
  <c r="M17" i="8"/>
  <c r="N17" i="8"/>
  <c r="O17" i="8"/>
  <c r="P17" i="8"/>
  <c r="Q17" i="8"/>
  <c r="R17" i="8"/>
  <c r="S17" i="8"/>
  <c r="T17" i="8"/>
  <c r="U17" i="8"/>
  <c r="V17" i="8"/>
  <c r="W17" i="8"/>
  <c r="X17" i="8"/>
  <c r="Y17" i="8"/>
  <c r="Z17" i="8"/>
  <c r="AA17" i="8"/>
  <c r="AB17"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2" i="8"/>
  <c r="E22" i="8"/>
  <c r="F22" i="8"/>
  <c r="G22" i="8"/>
  <c r="H22" i="8"/>
  <c r="I22" i="8"/>
  <c r="J22" i="8"/>
  <c r="K22" i="8"/>
  <c r="L22" i="8"/>
  <c r="M22" i="8"/>
  <c r="N22" i="8"/>
  <c r="O22" i="8"/>
  <c r="P22" i="8"/>
  <c r="Q22" i="8"/>
  <c r="R22" i="8"/>
  <c r="S22" i="8"/>
  <c r="T22" i="8"/>
  <c r="U22" i="8"/>
  <c r="V22" i="8"/>
  <c r="W22" i="8"/>
  <c r="X22" i="8"/>
  <c r="Y22" i="8"/>
  <c r="Z22" i="8"/>
  <c r="AA22" i="8"/>
  <c r="AB22"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6" i="8"/>
  <c r="E26" i="8"/>
  <c r="F26" i="8"/>
  <c r="G26" i="8"/>
  <c r="H26" i="8"/>
  <c r="I26" i="8"/>
  <c r="J26" i="8"/>
  <c r="K26" i="8"/>
  <c r="L26" i="8"/>
  <c r="M26" i="8"/>
  <c r="N26" i="8"/>
  <c r="O26" i="8"/>
  <c r="P26" i="8"/>
  <c r="Q26" i="8"/>
  <c r="R26" i="8"/>
  <c r="S26" i="8"/>
  <c r="T26" i="8"/>
  <c r="U26" i="8"/>
  <c r="V26" i="8"/>
  <c r="W26" i="8"/>
  <c r="X26" i="8"/>
  <c r="Y26" i="8"/>
  <c r="Z26" i="8"/>
  <c r="AA26" i="8"/>
  <c r="AB26" i="8"/>
  <c r="D27" i="8"/>
  <c r="E27" i="8"/>
  <c r="F27" i="8"/>
  <c r="G27" i="8"/>
  <c r="H27" i="8"/>
  <c r="I27" i="8"/>
  <c r="J27" i="8"/>
  <c r="K27" i="8"/>
  <c r="L27" i="8"/>
  <c r="M27" i="8"/>
  <c r="N27" i="8"/>
  <c r="O27" i="8"/>
  <c r="P27" i="8"/>
  <c r="Q27" i="8"/>
  <c r="R27" i="8"/>
  <c r="S27" i="8"/>
  <c r="T27" i="8"/>
  <c r="U27" i="8"/>
  <c r="V27" i="8"/>
  <c r="W27" i="8"/>
  <c r="X27" i="8"/>
  <c r="Y27" i="8"/>
  <c r="Z27" i="8"/>
  <c r="AA27" i="8"/>
  <c r="AB27" i="8"/>
  <c r="D28" i="8"/>
  <c r="E28" i="8"/>
  <c r="F28" i="8"/>
  <c r="G28" i="8"/>
  <c r="H28" i="8"/>
  <c r="I28" i="8"/>
  <c r="J28" i="8"/>
  <c r="K28" i="8"/>
  <c r="L28" i="8"/>
  <c r="M28" i="8"/>
  <c r="N28" i="8"/>
  <c r="O28" i="8"/>
  <c r="P28" i="8"/>
  <c r="Q28" i="8"/>
  <c r="R28" i="8"/>
  <c r="S28" i="8"/>
  <c r="T28" i="8"/>
  <c r="U28" i="8"/>
  <c r="V28" i="8"/>
  <c r="W28" i="8"/>
  <c r="X28" i="8"/>
  <c r="Y28" i="8"/>
  <c r="Z28" i="8"/>
  <c r="AA28" i="8"/>
  <c r="AB28" i="8"/>
  <c r="D30" i="8"/>
  <c r="E30" i="8"/>
  <c r="F30" i="8"/>
  <c r="G30" i="8"/>
  <c r="H30" i="8"/>
  <c r="I30" i="8"/>
  <c r="J30" i="8"/>
  <c r="K30" i="8"/>
  <c r="L30" i="8"/>
  <c r="M30" i="8"/>
  <c r="N30" i="8"/>
  <c r="O30" i="8"/>
  <c r="P30" i="8"/>
  <c r="Q30" i="8"/>
  <c r="R30" i="8"/>
  <c r="S30" i="8"/>
  <c r="T30" i="8"/>
  <c r="U30" i="8"/>
  <c r="V30" i="8"/>
  <c r="W30" i="8"/>
  <c r="X30" i="8"/>
  <c r="Y30" i="8"/>
  <c r="Z30" i="8"/>
  <c r="AA30" i="8"/>
  <c r="AB30" i="8"/>
  <c r="D31" i="8"/>
  <c r="E31" i="8"/>
  <c r="F31" i="8"/>
  <c r="G31" i="8"/>
  <c r="H31" i="8"/>
  <c r="I31" i="8"/>
  <c r="J31" i="8"/>
  <c r="K31" i="8"/>
  <c r="L31" i="8"/>
  <c r="M31" i="8"/>
  <c r="N31" i="8"/>
  <c r="O31" i="8"/>
  <c r="P31" i="8"/>
  <c r="Q31" i="8"/>
  <c r="R31" i="8"/>
  <c r="S31" i="8"/>
  <c r="T31" i="8"/>
  <c r="U31" i="8"/>
  <c r="V31" i="8"/>
  <c r="W31" i="8"/>
  <c r="X31" i="8"/>
  <c r="Y31" i="8"/>
  <c r="Z31" i="8"/>
  <c r="AA31" i="8"/>
  <c r="AB31"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D34" i="8"/>
  <c r="E34" i="8"/>
  <c r="F34" i="8"/>
  <c r="G34" i="8"/>
  <c r="H34" i="8"/>
  <c r="I34" i="8"/>
  <c r="J34" i="8"/>
  <c r="K34" i="8"/>
  <c r="L34" i="8"/>
  <c r="M34" i="8"/>
  <c r="N34" i="8"/>
  <c r="O34" i="8"/>
  <c r="P34" i="8"/>
  <c r="Q34" i="8"/>
  <c r="R34" i="8"/>
  <c r="S34" i="8"/>
  <c r="T34" i="8"/>
  <c r="U34" i="8"/>
  <c r="V34" i="8"/>
  <c r="W34" i="8"/>
  <c r="X34" i="8"/>
  <c r="Y34" i="8"/>
  <c r="Z34" i="8"/>
  <c r="AA34" i="8"/>
  <c r="AB34" i="8"/>
  <c r="D36" i="8"/>
  <c r="E36" i="8"/>
  <c r="F36" i="8"/>
  <c r="G36" i="8"/>
  <c r="H36" i="8"/>
  <c r="I36" i="8"/>
  <c r="J36" i="8"/>
  <c r="K36" i="8"/>
  <c r="L36" i="8"/>
  <c r="M36" i="8"/>
  <c r="N36" i="8"/>
  <c r="O36" i="8"/>
  <c r="P36" i="8"/>
  <c r="Q36" i="8"/>
  <c r="R36" i="8"/>
  <c r="S36" i="8"/>
  <c r="T36" i="8"/>
  <c r="U36" i="8"/>
  <c r="V36" i="8"/>
  <c r="W36" i="8"/>
  <c r="X36" i="8"/>
  <c r="Y36" i="8"/>
  <c r="Z36" i="8"/>
  <c r="AA36" i="8"/>
  <c r="AB36"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6" i="8"/>
  <c r="E46" i="8"/>
  <c r="F46" i="8"/>
  <c r="G46" i="8"/>
  <c r="H46" i="8"/>
  <c r="I46" i="8"/>
  <c r="J46" i="8"/>
  <c r="K46" i="8"/>
  <c r="L46" i="8"/>
  <c r="M46" i="8"/>
  <c r="N46" i="8"/>
  <c r="O46" i="8"/>
  <c r="P46" i="8"/>
  <c r="Q46" i="8"/>
  <c r="R46" i="8"/>
  <c r="S46" i="8"/>
  <c r="T46" i="8"/>
  <c r="U46" i="8"/>
  <c r="V46" i="8"/>
  <c r="W46" i="8"/>
  <c r="X46" i="8"/>
  <c r="Y46" i="8"/>
  <c r="Z46" i="8"/>
  <c r="AA46" i="8"/>
  <c r="AB46" i="8"/>
  <c r="D47" i="8"/>
  <c r="E47" i="8"/>
  <c r="F47" i="8"/>
  <c r="G47" i="8"/>
  <c r="H47" i="8"/>
  <c r="I47" i="8"/>
  <c r="J47" i="8"/>
  <c r="K47" i="8"/>
  <c r="L47" i="8"/>
  <c r="M47" i="8"/>
  <c r="N47" i="8"/>
  <c r="O47" i="8"/>
  <c r="P47" i="8"/>
  <c r="Q47" i="8"/>
  <c r="R47" i="8"/>
  <c r="S47" i="8"/>
  <c r="T47" i="8"/>
  <c r="U47" i="8"/>
  <c r="V47" i="8"/>
  <c r="W47" i="8"/>
  <c r="X47" i="8"/>
  <c r="Y47" i="8"/>
  <c r="Z47" i="8"/>
  <c r="AA47" i="8"/>
  <c r="AB47" i="8"/>
  <c r="D49" i="8"/>
  <c r="E49" i="8"/>
  <c r="F49" i="8"/>
  <c r="G49" i="8"/>
  <c r="H49" i="8"/>
  <c r="I49" i="8"/>
  <c r="J49" i="8"/>
  <c r="K49" i="8"/>
  <c r="L49" i="8"/>
  <c r="M49" i="8"/>
  <c r="N49" i="8"/>
  <c r="O49" i="8"/>
  <c r="P49" i="8"/>
  <c r="Q49" i="8"/>
  <c r="R49" i="8"/>
  <c r="S49" i="8"/>
  <c r="T49" i="8"/>
  <c r="U49" i="8"/>
  <c r="V49" i="8"/>
  <c r="W49" i="8"/>
  <c r="X49" i="8"/>
  <c r="Y49" i="8"/>
  <c r="Z49" i="8"/>
  <c r="AA49" i="8"/>
  <c r="AB49" i="8"/>
  <c r="D50" i="8"/>
  <c r="E50" i="8"/>
  <c r="F50" i="8"/>
  <c r="G50" i="8"/>
  <c r="H50" i="8"/>
  <c r="I50" i="8"/>
  <c r="J50" i="8"/>
  <c r="K50" i="8"/>
  <c r="L50" i="8"/>
  <c r="M50" i="8"/>
  <c r="N50" i="8"/>
  <c r="O50" i="8"/>
  <c r="P50" i="8"/>
  <c r="Q50" i="8"/>
  <c r="R50" i="8"/>
  <c r="S50" i="8"/>
  <c r="T50" i="8"/>
  <c r="U50" i="8"/>
  <c r="V50" i="8"/>
  <c r="W50" i="8"/>
  <c r="X50" i="8"/>
  <c r="Y50" i="8"/>
  <c r="Z50" i="8"/>
  <c r="AA50" i="8"/>
  <c r="AB50" i="8"/>
  <c r="D52" i="8"/>
  <c r="E52" i="8"/>
  <c r="F52" i="8"/>
  <c r="G52" i="8"/>
  <c r="H52" i="8"/>
  <c r="I52" i="8"/>
  <c r="J52" i="8"/>
  <c r="K52" i="8"/>
  <c r="L52" i="8"/>
  <c r="M52" i="8"/>
  <c r="N52" i="8"/>
  <c r="O52" i="8"/>
  <c r="P52" i="8"/>
  <c r="Q52" i="8"/>
  <c r="R52" i="8"/>
  <c r="S52" i="8"/>
  <c r="T52" i="8"/>
  <c r="U52" i="8"/>
  <c r="V52" i="8"/>
  <c r="W52" i="8"/>
  <c r="X52" i="8"/>
  <c r="Y52" i="8"/>
  <c r="Z52" i="8"/>
  <c r="AA52" i="8"/>
  <c r="AB52" i="8"/>
  <c r="D56" i="8"/>
  <c r="E56" i="8"/>
  <c r="F56" i="8"/>
  <c r="G56" i="8"/>
  <c r="H56" i="8"/>
  <c r="I56" i="8"/>
  <c r="J56" i="8"/>
  <c r="K56" i="8"/>
  <c r="L56" i="8"/>
  <c r="M56" i="8"/>
  <c r="N56" i="8"/>
  <c r="O56" i="8"/>
  <c r="P56" i="8"/>
  <c r="Q56" i="8"/>
  <c r="R56" i="8"/>
  <c r="S56" i="8"/>
  <c r="T56" i="8"/>
  <c r="U56" i="8"/>
  <c r="V56" i="8"/>
  <c r="W56" i="8"/>
  <c r="X56" i="8"/>
  <c r="Y56" i="8"/>
  <c r="Z56" i="8"/>
  <c r="AA56" i="8"/>
  <c r="AB56" i="8"/>
  <c r="D57" i="8"/>
  <c r="E57" i="8"/>
  <c r="F57" i="8"/>
  <c r="G57" i="8"/>
  <c r="H57" i="8"/>
  <c r="I57" i="8"/>
  <c r="J57" i="8"/>
  <c r="K57" i="8"/>
  <c r="L57" i="8"/>
  <c r="M57" i="8"/>
  <c r="N57" i="8"/>
  <c r="O57" i="8"/>
  <c r="P57" i="8"/>
  <c r="Q57" i="8"/>
  <c r="R57" i="8"/>
  <c r="S57" i="8"/>
  <c r="T57" i="8"/>
  <c r="U57" i="8"/>
  <c r="V57" i="8"/>
  <c r="W57" i="8"/>
  <c r="X57" i="8"/>
  <c r="Y57" i="8"/>
  <c r="Z57" i="8"/>
  <c r="AA57" i="8"/>
  <c r="AB57" i="8"/>
  <c r="D58" i="8"/>
  <c r="E58" i="8"/>
  <c r="F58" i="8"/>
  <c r="G58" i="8"/>
  <c r="H58" i="8"/>
  <c r="I58" i="8"/>
  <c r="J58" i="8"/>
  <c r="K58" i="8"/>
  <c r="L58" i="8"/>
  <c r="M58" i="8"/>
  <c r="N58" i="8"/>
  <c r="O58" i="8"/>
  <c r="P58" i="8"/>
  <c r="Q58" i="8"/>
  <c r="R58" i="8"/>
  <c r="S58" i="8"/>
  <c r="T58" i="8"/>
  <c r="U58" i="8"/>
  <c r="V58" i="8"/>
  <c r="W58" i="8"/>
  <c r="X58" i="8"/>
  <c r="Y58" i="8"/>
  <c r="Z58" i="8"/>
  <c r="AA58" i="8"/>
  <c r="AB58" i="8"/>
  <c r="D60" i="8"/>
  <c r="E60" i="8"/>
  <c r="F60" i="8"/>
  <c r="G60" i="8"/>
  <c r="H60" i="8"/>
  <c r="I60" i="8"/>
  <c r="J60" i="8"/>
  <c r="K60" i="8"/>
  <c r="L60" i="8"/>
  <c r="M60" i="8"/>
  <c r="N60" i="8"/>
  <c r="O60" i="8"/>
  <c r="P60" i="8"/>
  <c r="Q60" i="8"/>
  <c r="R60" i="8"/>
  <c r="S60" i="8"/>
  <c r="T60" i="8"/>
  <c r="U60" i="8"/>
  <c r="V60" i="8"/>
  <c r="W60" i="8"/>
  <c r="X60" i="8"/>
  <c r="A1" i="15"/>
  <c r="B4" i="15"/>
  <c r="B5" i="15"/>
  <c r="D6" i="15"/>
  <c r="E6" i="15"/>
  <c r="F6" i="15"/>
  <c r="G6" i="15"/>
  <c r="H6" i="15"/>
  <c r="I6" i="15"/>
  <c r="J6" i="15"/>
  <c r="K6" i="15"/>
  <c r="L6" i="15"/>
  <c r="M6" i="15"/>
  <c r="N6" i="15"/>
  <c r="O6" i="15"/>
  <c r="P6" i="15"/>
  <c r="Q6" i="15"/>
  <c r="R6" i="15"/>
  <c r="S6" i="15"/>
  <c r="T6" i="15"/>
  <c r="U6" i="15"/>
  <c r="V6" i="15"/>
  <c r="W6" i="15"/>
  <c r="X6" i="15"/>
  <c r="Y6" i="15"/>
  <c r="B7" i="15"/>
  <c r="D7" i="15"/>
  <c r="E7" i="15"/>
  <c r="F7" i="15"/>
  <c r="G7" i="15"/>
  <c r="H7" i="15"/>
  <c r="I7" i="15"/>
  <c r="J7" i="15"/>
  <c r="K7" i="15"/>
  <c r="L7" i="15"/>
  <c r="M7" i="15"/>
  <c r="N7" i="15"/>
  <c r="O7" i="15"/>
  <c r="P7" i="15"/>
  <c r="Q7" i="15"/>
  <c r="R7" i="15"/>
  <c r="S7" i="15"/>
  <c r="T7" i="15"/>
  <c r="U7" i="15"/>
  <c r="V7" i="15"/>
  <c r="W7" i="15"/>
  <c r="X7" i="15"/>
  <c r="Y7" i="15"/>
  <c r="B8" i="15"/>
  <c r="D8" i="15"/>
  <c r="E8" i="15"/>
  <c r="F8" i="15"/>
  <c r="G8" i="15"/>
  <c r="H8" i="15"/>
  <c r="I8" i="15"/>
  <c r="J8" i="15"/>
  <c r="K8" i="15"/>
  <c r="L8" i="15"/>
  <c r="M8" i="15"/>
  <c r="N8" i="15"/>
  <c r="O8" i="15"/>
  <c r="P8" i="15"/>
  <c r="Q8" i="15"/>
  <c r="R8" i="15"/>
  <c r="S8" i="15"/>
  <c r="T8" i="15"/>
  <c r="U8" i="15"/>
  <c r="V8" i="15"/>
  <c r="W8" i="15"/>
  <c r="X8" i="15"/>
  <c r="Y8" i="15"/>
  <c r="B9" i="15"/>
  <c r="D9" i="15"/>
  <c r="E9" i="15"/>
  <c r="F9" i="15"/>
  <c r="G9" i="15"/>
  <c r="H9" i="15"/>
  <c r="I9" i="15"/>
  <c r="J9" i="15"/>
  <c r="K9" i="15"/>
  <c r="L9" i="15"/>
  <c r="M9" i="15"/>
  <c r="N9" i="15"/>
  <c r="O9" i="15"/>
  <c r="P9" i="15"/>
  <c r="Q9" i="15"/>
  <c r="R9" i="15"/>
  <c r="S9" i="15"/>
  <c r="T9" i="15"/>
  <c r="U9" i="15"/>
  <c r="V9" i="15"/>
  <c r="W9" i="15"/>
  <c r="X9" i="15"/>
  <c r="Y9" i="15"/>
  <c r="B10" i="15"/>
  <c r="D10" i="15"/>
  <c r="E10" i="15"/>
  <c r="F10" i="15"/>
  <c r="G10" i="15"/>
  <c r="H10" i="15"/>
  <c r="I10" i="15"/>
  <c r="J10" i="15"/>
  <c r="K10" i="15"/>
  <c r="L10" i="15"/>
  <c r="M10" i="15"/>
  <c r="N10" i="15"/>
  <c r="O10" i="15"/>
  <c r="P10" i="15"/>
  <c r="Q10" i="15"/>
  <c r="R10" i="15"/>
  <c r="S10" i="15"/>
  <c r="T10" i="15"/>
  <c r="U10" i="15"/>
  <c r="V10" i="15"/>
  <c r="W10" i="15"/>
  <c r="X10" i="15"/>
  <c r="Y10" i="15"/>
  <c r="B17" i="15"/>
  <c r="C17" i="15"/>
  <c r="B18" i="15"/>
  <c r="C18" i="15"/>
  <c r="B19" i="15"/>
  <c r="C19" i="15"/>
  <c r="B20" i="15"/>
  <c r="C20" i="15"/>
  <c r="B30" i="15"/>
  <c r="C30" i="15"/>
  <c r="B31" i="15"/>
  <c r="C31" i="15"/>
  <c r="B32" i="15"/>
  <c r="C32" i="15"/>
  <c r="B33" i="15"/>
  <c r="C33" i="15"/>
  <c r="B40" i="15"/>
  <c r="C40" i="15"/>
  <c r="B41" i="15"/>
  <c r="C41" i="15"/>
  <c r="B42" i="15"/>
  <c r="C42" i="15"/>
  <c r="B43" i="15"/>
  <c r="C43" i="15"/>
  <c r="B50" i="15"/>
  <c r="C50" i="15"/>
  <c r="B51" i="15"/>
  <c r="C51" i="15"/>
  <c r="B52" i="15"/>
  <c r="C52" i="15"/>
  <c r="B53" i="15"/>
  <c r="C53" i="15"/>
  <c r="B60" i="15"/>
  <c r="C60" i="15"/>
  <c r="B61" i="15"/>
  <c r="C61" i="15"/>
  <c r="B62" i="15"/>
  <c r="C62" i="15"/>
  <c r="B63" i="15"/>
  <c r="C63" i="15"/>
  <c r="B70" i="15"/>
  <c r="C70" i="15"/>
  <c r="B71" i="15"/>
  <c r="C71" i="15"/>
  <c r="B72" i="15"/>
  <c r="C72" i="15"/>
  <c r="B73" i="15"/>
  <c r="C73" i="15"/>
  <c r="B80" i="15"/>
  <c r="C80" i="15"/>
  <c r="B81" i="15"/>
  <c r="C81" i="15"/>
  <c r="B82" i="15"/>
  <c r="C82" i="15"/>
  <c r="B83" i="15"/>
  <c r="C83" i="15"/>
  <c r="B90" i="15"/>
  <c r="C90" i="15"/>
  <c r="B91" i="15"/>
  <c r="C91" i="15"/>
  <c r="B92" i="15"/>
  <c r="C92" i="15"/>
  <c r="B93" i="15"/>
  <c r="C93" i="15"/>
  <c r="B100" i="15"/>
  <c r="C100" i="15"/>
  <c r="B101" i="15"/>
  <c r="C101" i="15"/>
  <c r="B102" i="15"/>
  <c r="C102" i="15"/>
  <c r="B103" i="15"/>
  <c r="C103" i="15"/>
  <c r="B111" i="15"/>
  <c r="C111" i="15"/>
  <c r="B112" i="15"/>
  <c r="C112" i="15"/>
  <c r="B113" i="15"/>
  <c r="C113" i="15"/>
  <c r="B114" i="15"/>
  <c r="C114" i="15"/>
  <c r="B121" i="15"/>
  <c r="C121" i="15"/>
  <c r="B122" i="15"/>
  <c r="C122" i="15"/>
  <c r="B123" i="15"/>
  <c r="C123" i="15"/>
  <c r="B124" i="15"/>
  <c r="C124" i="15"/>
  <c r="B131" i="15"/>
  <c r="C131" i="15"/>
  <c r="B132" i="15"/>
  <c r="C132" i="15"/>
  <c r="B133" i="15"/>
  <c r="C133" i="15"/>
  <c r="B134" i="15"/>
  <c r="C134" i="15"/>
  <c r="B141" i="15"/>
  <c r="C141" i="15"/>
  <c r="B142" i="15"/>
  <c r="C142" i="15"/>
  <c r="B143" i="15"/>
  <c r="C143" i="15"/>
  <c r="B144" i="15"/>
  <c r="C144" i="15"/>
  <c r="B151" i="15"/>
  <c r="C151" i="15"/>
  <c r="B152" i="15"/>
  <c r="C152" i="15"/>
  <c r="B153" i="15"/>
  <c r="C153" i="15"/>
  <c r="B154" i="15"/>
  <c r="C154" i="15"/>
  <c r="B161" i="15"/>
  <c r="C161" i="15"/>
  <c r="B162" i="15"/>
  <c r="C162" i="15"/>
  <c r="B163" i="15"/>
  <c r="C163" i="15"/>
  <c r="B164" i="15"/>
  <c r="C164" i="15"/>
  <c r="B171" i="15"/>
  <c r="C171" i="15"/>
  <c r="B172" i="15"/>
  <c r="C172" i="15"/>
  <c r="B173" i="15"/>
  <c r="C173" i="15"/>
  <c r="B174" i="15"/>
  <c r="C174" i="15"/>
  <c r="B181" i="15"/>
  <c r="C181" i="15"/>
  <c r="B182" i="15"/>
  <c r="C182" i="15"/>
  <c r="B183" i="15"/>
  <c r="C183" i="15"/>
  <c r="B184" i="15"/>
  <c r="C184" i="15"/>
  <c r="B191" i="15"/>
  <c r="C191" i="15"/>
  <c r="B192" i="15"/>
  <c r="C192" i="15"/>
  <c r="B193" i="15"/>
  <c r="C193" i="15"/>
  <c r="B194" i="15"/>
  <c r="C194" i="15"/>
  <c r="B201" i="15"/>
  <c r="C201" i="15"/>
  <c r="B202" i="15"/>
  <c r="C202" i="15"/>
  <c r="B203" i="15"/>
  <c r="C203" i="15"/>
  <c r="B204" i="15"/>
  <c r="C204" i="15"/>
  <c r="B211" i="15"/>
  <c r="C211" i="15"/>
  <c r="B212" i="15"/>
  <c r="C212" i="15"/>
  <c r="B213" i="15"/>
  <c r="C213" i="15"/>
  <c r="B214" i="15"/>
  <c r="C214" i="15"/>
  <c r="B221" i="15"/>
  <c r="C221" i="15"/>
  <c r="B222" i="15"/>
  <c r="C222" i="15"/>
  <c r="B223" i="15"/>
  <c r="C223" i="15"/>
  <c r="B224" i="15"/>
  <c r="C224" i="15"/>
  <c r="B231" i="15"/>
  <c r="C231" i="15"/>
  <c r="B232" i="15"/>
  <c r="C232" i="15"/>
  <c r="B233" i="15"/>
  <c r="C233" i="15"/>
  <c r="B234" i="15"/>
  <c r="C234" i="15"/>
  <c r="B241" i="15"/>
  <c r="C241" i="15"/>
  <c r="B242" i="15"/>
  <c r="C242" i="15"/>
  <c r="B243" i="15"/>
  <c r="C243" i="15"/>
  <c r="B244" i="15"/>
  <c r="C244" i="15"/>
  <c r="B251" i="15"/>
  <c r="C251" i="15"/>
  <c r="B252" i="15"/>
  <c r="C252" i="15"/>
  <c r="B253" i="15"/>
  <c r="C253" i="15"/>
  <c r="B254" i="15"/>
  <c r="C254" i="15"/>
  <c r="B261" i="15"/>
  <c r="C261" i="15"/>
  <c r="B262" i="15"/>
  <c r="C262" i="15"/>
  <c r="B263" i="15"/>
  <c r="C263" i="15"/>
  <c r="B264" i="15"/>
  <c r="C264" i="15"/>
  <c r="B271" i="15"/>
  <c r="C271" i="15"/>
  <c r="B272" i="15"/>
  <c r="C272" i="15"/>
  <c r="B273" i="15"/>
  <c r="C273" i="15"/>
  <c r="B274" i="15"/>
  <c r="C274" i="15"/>
  <c r="B281" i="15"/>
  <c r="C281" i="15"/>
  <c r="B282" i="15"/>
  <c r="C282" i="15"/>
  <c r="B283" i="15"/>
  <c r="C283" i="15"/>
  <c r="B284" i="15"/>
  <c r="C284" i="15"/>
  <c r="B291" i="15"/>
  <c r="C291" i="15"/>
  <c r="B292" i="15"/>
  <c r="C292" i="15"/>
  <c r="B293" i="15"/>
  <c r="C293" i="15"/>
  <c r="B294" i="15"/>
  <c r="C294" i="15"/>
  <c r="B301" i="15"/>
  <c r="C301" i="15"/>
  <c r="B302" i="15"/>
  <c r="C302" i="15"/>
  <c r="B303" i="15"/>
  <c r="C303" i="15"/>
  <c r="B304" i="15"/>
  <c r="C304" i="15"/>
  <c r="B311" i="15"/>
  <c r="C311" i="15"/>
  <c r="B312" i="15"/>
  <c r="C312" i="15"/>
  <c r="B313" i="15"/>
  <c r="C313" i="15"/>
  <c r="B314" i="15"/>
  <c r="C314" i="15"/>
  <c r="B321" i="15"/>
  <c r="C321" i="15"/>
  <c r="B322" i="15"/>
  <c r="C322" i="15"/>
  <c r="B323" i="15"/>
  <c r="C323" i="15"/>
  <c r="B324" i="15"/>
  <c r="C324" i="15"/>
  <c r="B331" i="15"/>
  <c r="C331" i="15"/>
  <c r="B332" i="15"/>
  <c r="C332" i="15"/>
  <c r="B333" i="15"/>
  <c r="C333" i="15"/>
  <c r="B334" i="15"/>
  <c r="C334" i="15"/>
  <c r="B341" i="15"/>
  <c r="C341" i="15"/>
  <c r="B342" i="15"/>
  <c r="C342" i="15"/>
  <c r="B343" i="15"/>
  <c r="C343" i="15"/>
  <c r="B344" i="15"/>
  <c r="C344" i="15"/>
  <c r="B351" i="15"/>
  <c r="C351" i="15"/>
  <c r="B352" i="15"/>
  <c r="C352" i="15"/>
  <c r="B353" i="15"/>
  <c r="C353" i="15"/>
  <c r="B354" i="15"/>
  <c r="C354" i="15"/>
  <c r="B361" i="15"/>
  <c r="C361" i="15"/>
  <c r="B362" i="15"/>
  <c r="C362" i="15"/>
  <c r="B363" i="15"/>
  <c r="C363" i="15"/>
  <c r="B364" i="15"/>
  <c r="C364" i="15"/>
  <c r="B371" i="15"/>
  <c r="C371" i="15"/>
  <c r="B372" i="15"/>
  <c r="C372" i="15"/>
  <c r="B373" i="15"/>
  <c r="C373" i="15"/>
  <c r="B374" i="15"/>
  <c r="C374" i="15"/>
  <c r="B381" i="15"/>
  <c r="C381" i="15"/>
  <c r="B382" i="15"/>
  <c r="C382" i="15"/>
  <c r="B383" i="15"/>
  <c r="C383" i="15"/>
  <c r="B384" i="15"/>
  <c r="C384" i="15"/>
  <c r="B391" i="15"/>
  <c r="C391" i="15"/>
  <c r="B392" i="15"/>
  <c r="C392" i="15"/>
  <c r="B393" i="15"/>
  <c r="C393" i="15"/>
  <c r="B394" i="15"/>
  <c r="C394" i="15"/>
  <c r="B401" i="15"/>
  <c r="C401" i="15"/>
  <c r="B402" i="15"/>
  <c r="C402" i="15"/>
  <c r="B403" i="15"/>
  <c r="C403" i="15"/>
  <c r="B404" i="15"/>
  <c r="C404" i="15"/>
  <c r="B411" i="15"/>
  <c r="C411" i="15"/>
  <c r="B412" i="15"/>
  <c r="C412" i="15"/>
  <c r="B413" i="15"/>
  <c r="C413" i="15"/>
  <c r="B414" i="15"/>
  <c r="C414" i="15"/>
  <c r="B421" i="15"/>
  <c r="C421" i="15"/>
  <c r="B422" i="15"/>
  <c r="C422" i="15"/>
  <c r="B423" i="15"/>
  <c r="C423" i="15"/>
  <c r="B424" i="15"/>
  <c r="C424" i="15"/>
  <c r="B431" i="15"/>
  <c r="C431" i="15"/>
  <c r="B432" i="15"/>
  <c r="C432" i="15"/>
  <c r="B433" i="15"/>
  <c r="C433" i="15"/>
  <c r="B434" i="15"/>
  <c r="C434" i="15"/>
  <c r="B441" i="15"/>
  <c r="C441" i="15"/>
  <c r="B442" i="15"/>
  <c r="C442" i="15"/>
  <c r="B443" i="15"/>
  <c r="C443" i="15"/>
  <c r="B444" i="15"/>
  <c r="C444" i="15"/>
  <c r="B451" i="15"/>
  <c r="C451" i="15"/>
  <c r="B452" i="15"/>
  <c r="C452" i="15"/>
  <c r="B453" i="15"/>
  <c r="C453" i="15"/>
  <c r="B454" i="15"/>
  <c r="C454" i="15"/>
  <c r="B461" i="15"/>
  <c r="C461" i="15"/>
  <c r="B462" i="15"/>
  <c r="C462" i="15"/>
  <c r="B463" i="15"/>
  <c r="C463" i="15"/>
  <c r="B464" i="15"/>
  <c r="C464" i="15"/>
  <c r="B471" i="15"/>
  <c r="C471" i="15"/>
  <c r="B472" i="15"/>
  <c r="C472" i="15"/>
  <c r="B473" i="15"/>
  <c r="C473" i="15"/>
  <c r="B474" i="15"/>
  <c r="C474" i="15"/>
  <c r="B481" i="15"/>
  <c r="C481" i="15"/>
  <c r="B482" i="15"/>
  <c r="C482" i="15"/>
  <c r="B483" i="15"/>
  <c r="C483" i="15"/>
  <c r="B484" i="15"/>
  <c r="C484" i="15"/>
  <c r="B491" i="15"/>
  <c r="C491" i="15"/>
  <c r="B492" i="15"/>
  <c r="C492" i="15"/>
  <c r="B493" i="15"/>
  <c r="C493" i="15"/>
  <c r="B494" i="15"/>
  <c r="C494" i="15"/>
  <c r="B501" i="15"/>
  <c r="C501" i="15"/>
  <c r="B502" i="15"/>
  <c r="C502" i="15"/>
  <c r="B503" i="15"/>
  <c r="C503" i="15"/>
  <c r="B504" i="15"/>
  <c r="C504" i="15"/>
  <c r="B511" i="15"/>
  <c r="C511" i="15"/>
  <c r="B512" i="15"/>
  <c r="C512" i="15"/>
  <c r="B513" i="15"/>
  <c r="C513" i="15"/>
  <c r="B514" i="15"/>
  <c r="C514" i="15"/>
  <c r="B521" i="15"/>
  <c r="C521" i="15"/>
  <c r="B522" i="15"/>
  <c r="C522" i="15"/>
  <c r="B523" i="15"/>
  <c r="C523" i="15"/>
  <c r="B524" i="15"/>
  <c r="C524" i="15"/>
  <c r="B531" i="15"/>
  <c r="C531" i="15"/>
  <c r="B532" i="15"/>
  <c r="C532" i="15"/>
  <c r="B533" i="15"/>
  <c r="C533" i="15"/>
  <c r="B534" i="15"/>
  <c r="C534" i="15"/>
  <c r="B541" i="15"/>
  <c r="C541" i="15"/>
  <c r="B542" i="15"/>
  <c r="C542" i="15"/>
  <c r="B543" i="15"/>
  <c r="C543" i="15"/>
  <c r="B544" i="15"/>
  <c r="C544" i="15"/>
  <c r="B551" i="15"/>
  <c r="C551" i="15"/>
  <c r="B552" i="15"/>
  <c r="C552" i="15"/>
  <c r="B553" i="15"/>
  <c r="C553" i="15"/>
  <c r="B554" i="15"/>
  <c r="C554" i="15"/>
  <c r="B561" i="15"/>
  <c r="C561" i="15"/>
  <c r="B562" i="15"/>
  <c r="C562" i="15"/>
  <c r="B563" i="15"/>
  <c r="C563" i="15"/>
  <c r="B564" i="15"/>
  <c r="C564" i="15"/>
  <c r="B571" i="15"/>
  <c r="C571" i="15"/>
  <c r="B572" i="15"/>
  <c r="C572" i="15"/>
  <c r="B573" i="15"/>
  <c r="C573" i="15"/>
  <c r="B574" i="15"/>
  <c r="C574" i="15"/>
  <c r="B581" i="15"/>
  <c r="C581" i="15"/>
  <c r="B582" i="15"/>
  <c r="C582" i="15"/>
  <c r="B583" i="15"/>
  <c r="C583" i="15"/>
  <c r="B584" i="15"/>
  <c r="C584" i="15"/>
  <c r="B591" i="15"/>
  <c r="C591" i="15"/>
  <c r="B592" i="15"/>
  <c r="C592" i="15"/>
  <c r="B593" i="15"/>
  <c r="C593" i="15"/>
  <c r="B594" i="15"/>
  <c r="C594" i="15"/>
  <c r="B601" i="15"/>
  <c r="C601" i="15"/>
  <c r="B602" i="15"/>
  <c r="C602" i="15"/>
  <c r="B603" i="15"/>
  <c r="C603" i="15"/>
  <c r="B604" i="15"/>
  <c r="C604" i="15"/>
  <c r="B611" i="15"/>
  <c r="C611" i="15"/>
  <c r="B612" i="15"/>
  <c r="C612" i="15"/>
  <c r="B613" i="15"/>
  <c r="C613" i="15"/>
  <c r="B614" i="15"/>
  <c r="C614" i="15"/>
  <c r="B622" i="15"/>
  <c r="C622" i="15"/>
  <c r="B623" i="15"/>
  <c r="C623" i="15"/>
  <c r="B624" i="15"/>
  <c r="C624" i="15"/>
  <c r="B625" i="15"/>
  <c r="C625" i="15"/>
  <c r="B633" i="15"/>
  <c r="C633" i="15"/>
  <c r="B634" i="15"/>
  <c r="C634" i="15"/>
  <c r="B635" i="15"/>
  <c r="C635" i="15"/>
  <c r="B636" i="15"/>
  <c r="C636" i="15"/>
  <c r="B644" i="15"/>
  <c r="C644" i="15"/>
  <c r="B645" i="15"/>
  <c r="C645" i="15"/>
  <c r="B646" i="15"/>
  <c r="C646" i="15"/>
  <c r="B647" i="15"/>
  <c r="C647" i="15"/>
  <c r="B655" i="15"/>
  <c r="C655" i="15"/>
  <c r="B656" i="15"/>
  <c r="C656" i="15"/>
  <c r="B657" i="15"/>
  <c r="C657" i="15"/>
  <c r="B658" i="15"/>
  <c r="C658" i="15"/>
  <c r="B666" i="15"/>
  <c r="C666" i="15"/>
  <c r="B667" i="15"/>
  <c r="C667" i="15"/>
  <c r="B668" i="15"/>
  <c r="C668" i="15"/>
  <c r="B669" i="15"/>
  <c r="C669" i="15"/>
  <c r="B677" i="15"/>
  <c r="C677" i="15"/>
  <c r="B678" i="15"/>
  <c r="C678" i="15"/>
  <c r="B679" i="15"/>
  <c r="C679" i="15"/>
  <c r="B680" i="15"/>
  <c r="C680" i="15"/>
  <c r="B688" i="15"/>
  <c r="C688" i="15"/>
  <c r="B689" i="15"/>
  <c r="C689" i="15"/>
  <c r="B690" i="15"/>
  <c r="C690" i="15"/>
  <c r="B691" i="15"/>
  <c r="C691" i="15"/>
  <c r="B699" i="15"/>
  <c r="C699" i="15"/>
  <c r="B700" i="15"/>
  <c r="C700" i="15"/>
  <c r="B701" i="15"/>
  <c r="C701" i="15"/>
  <c r="B702" i="15"/>
  <c r="C702" i="15"/>
  <c r="B710" i="15"/>
  <c r="C710" i="15"/>
  <c r="B711" i="15"/>
  <c r="C711" i="15"/>
  <c r="B712" i="15"/>
  <c r="C712" i="15"/>
  <c r="B713" i="15"/>
  <c r="C713" i="15"/>
  <c r="B721" i="15"/>
  <c r="C721" i="15"/>
  <c r="B722" i="15"/>
  <c r="C722" i="15"/>
  <c r="B723" i="15"/>
  <c r="C723" i="15"/>
  <c r="B724" i="15"/>
  <c r="C724" i="15"/>
  <c r="B732" i="15"/>
  <c r="C732" i="15"/>
  <c r="B733" i="15"/>
  <c r="C733" i="15"/>
  <c r="B734" i="15"/>
  <c r="C734" i="15"/>
  <c r="B735" i="15"/>
  <c r="C735" i="15"/>
  <c r="B743" i="15"/>
  <c r="C743" i="15"/>
  <c r="B744" i="15"/>
  <c r="C744" i="15"/>
  <c r="B745" i="15"/>
  <c r="C745" i="15"/>
  <c r="B746" i="15"/>
  <c r="C746" i="15"/>
  <c r="B754" i="15"/>
  <c r="C754" i="15"/>
  <c r="B755" i="15"/>
  <c r="C755" i="15"/>
  <c r="B756" i="15"/>
  <c r="C756" i="15"/>
  <c r="B757" i="15"/>
  <c r="C757" i="15"/>
  <c r="B765" i="15"/>
  <c r="C765" i="15"/>
  <c r="B766" i="15"/>
  <c r="C766" i="15"/>
  <c r="B767" i="15"/>
  <c r="C767" i="15"/>
  <c r="B768" i="15"/>
  <c r="C768"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Basis for Property Tax:
Multiplied by .7576 to back into a 350 Property Tax in year 1 as per Scott Healy's request.  This is stilled deemed a conservative estimate.</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0" shapeId="0">
      <text>
        <r>
          <rPr>
            <b/>
            <sz val="8"/>
            <color indexed="81"/>
            <rFont val="Tahoma"/>
          </rPr>
          <t xml:space="preserve">Assessed Value Multiplier:
</t>
        </r>
        <r>
          <rPr>
            <sz val="8"/>
            <color indexed="81"/>
            <rFont val="Tahoma"/>
            <family val="2"/>
          </rPr>
          <t xml:space="preserve">
Neil S-C, 2/25/99
State of Illinois assesses property at a rate of 33% of market value.  Market Value is 15% of real property value.  See  Pollina Corp Memo provided by Scott Healy.</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U8" authorId="2" shapeId="0">
      <text>
        <r>
          <rPr>
            <b/>
            <sz val="8"/>
            <color indexed="81"/>
            <rFont val="Tahoma"/>
          </rPr>
          <t>SCHOOL MILLAGE RATE:
Sheetal J Bajoria x3-5692:
2/10/99
Need verification from Clay Spears</t>
        </r>
        <r>
          <rPr>
            <sz val="8"/>
            <color indexed="81"/>
            <rFont val="Tahoma"/>
          </rPr>
          <t xml:space="preserve">
</t>
        </r>
      </text>
    </comment>
    <comment ref="I9" authorId="0" shapeId="0">
      <text>
        <r>
          <rPr>
            <b/>
            <sz val="8"/>
            <color indexed="81"/>
            <rFont val="Tahoma"/>
          </rPr>
          <t>Capacity ISO:
The Kaiser capacity curve are generated off of ISO capacity so we need to use the ISO rating on the turbines to stay consistent.  7/15 email from Scott Healy confirmes ISO rateings</t>
        </r>
      </text>
    </comment>
    <comment ref="I10" authorId="2" shapeId="0">
      <text>
        <r>
          <rPr>
            <b/>
            <sz val="10"/>
            <color indexed="81"/>
            <rFont val="Tahoma"/>
            <family val="2"/>
          </rPr>
          <t>NET MW
Site ratings came from Chris Booth in EE&amp;CC through Scott Healy.  Refer to the 7/15 email from Scott.  Use site ratings for the fixed price period only.</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G16" authorId="0" shapeId="0">
      <text>
        <r>
          <rPr>
            <b/>
            <sz val="8"/>
            <color indexed="81"/>
            <rFont val="Tahoma"/>
          </rPr>
          <t>Start Date:
2000 PPA's</t>
        </r>
      </text>
    </comment>
    <comment ref="G17" authorId="0" shapeId="0">
      <text>
        <r>
          <rPr>
            <b/>
            <sz val="8"/>
            <color indexed="81"/>
            <rFont val="Tahoma"/>
          </rPr>
          <t>End Date: 
See 2000 PPA</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This assumption  comes directly from Scott Healy.  Patrick Maloy is the tax support and has a difference of opinion on the correct liability here.
</t>
        </r>
        <r>
          <rPr>
            <b/>
            <sz val="8"/>
            <color indexed="81"/>
            <rFont val="Tahoma"/>
            <family val="2"/>
          </rPr>
          <t xml:space="preserve">Neil S-C: 3/31/99
</t>
        </r>
        <r>
          <rPr>
            <sz val="8"/>
            <color indexed="81"/>
            <rFont val="Tahoma"/>
            <family val="2"/>
          </rPr>
          <t xml:space="preserve">
This is a calculation from Scott Healy.  Every piece of equipment and construction material is subject to this tax except for pollution control equipment.
Reduced to $8.7M from $9M in Version #2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0"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1"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2" authorId="2" shapeId="0">
      <text>
        <r>
          <rPr>
            <b/>
            <sz val="10"/>
            <color indexed="81"/>
            <rFont val="Tahoma"/>
            <family val="2"/>
          </rPr>
          <t xml:space="preserve">OPS. AND MACHINERT INSURANCE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Alternate Structure follows the CSFB terms and can be customized as the terms change.  The normal structure runs off of the Coverage Ratios.</t>
        </r>
      </text>
    </comment>
    <comment ref="N34"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5" authorId="0" shapeId="0">
      <text>
        <r>
          <rPr>
            <b/>
            <sz val="8"/>
            <color indexed="81"/>
            <rFont val="Tahoma"/>
          </rPr>
          <t xml:space="preserve">UTILITIES START UP POWER:
Neil S-C,
</t>
        </r>
        <r>
          <rPr>
            <sz val="8"/>
            <color indexed="81"/>
            <rFont val="Tahoma"/>
            <family val="2"/>
          </rPr>
          <t xml:space="preserve">
This is prorated off of Caledonia which has 6 Turbines.</t>
        </r>
      </text>
    </comment>
    <comment ref="N37" authorId="0" shapeId="0">
      <text>
        <r>
          <rPr>
            <b/>
            <sz val="8"/>
            <color indexed="81"/>
            <rFont val="Tahoma"/>
          </rPr>
          <t xml:space="preserve">GAS PIPELINE METERING:
Neil S-C; 3/15/99
</t>
        </r>
        <r>
          <rPr>
            <sz val="8"/>
            <color indexed="81"/>
            <rFont val="Tahoma"/>
            <family val="2"/>
          </rPr>
          <t>Kevin Presto's Group.</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Debt:
Back into about 75% debt to match the bond indenture for the portfolio.</t>
        </r>
      </text>
    </comment>
    <comment ref="B52"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2"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59" authorId="0" shapeId="0">
      <text>
        <r>
          <rPr>
            <b/>
            <sz val="8"/>
            <color indexed="81"/>
            <rFont val="Tahoma"/>
          </rPr>
          <t xml:space="preserve">Total Uses:
</t>
        </r>
        <r>
          <rPr>
            <sz val="8"/>
            <color indexed="81"/>
            <rFont val="Tahoma"/>
            <family val="2"/>
          </rPr>
          <t xml:space="preserve">
This should tie out to the most recent weekly Control Budget.</t>
        </r>
      </text>
    </comment>
    <comment ref="N60" authorId="0" shapeId="0">
      <text>
        <r>
          <rPr>
            <b/>
            <sz val="8"/>
            <color indexed="81"/>
            <rFont val="Tahoma"/>
          </rPr>
          <t xml:space="preserve">Start Up Fuel:
</t>
        </r>
        <r>
          <rPr>
            <sz val="8"/>
            <color indexed="81"/>
            <rFont val="Tahoma"/>
            <family val="2"/>
          </rPr>
          <t xml:space="preserve">
The number comes from Kevin Presto's Genco group but is not being reflected as it is a pass through and this reflects what is happening in the consolidated model</t>
        </r>
      </text>
    </comment>
    <comment ref="N64" authorId="2" shapeId="0">
      <text>
        <r>
          <rPr>
            <b/>
            <sz val="8"/>
            <color indexed="81"/>
            <rFont val="Tahoma"/>
          </rPr>
          <t xml:space="preserve">STATE INCOME TAX RATE
Neil S-C: 3/15/99
</t>
        </r>
        <r>
          <rPr>
            <sz val="8"/>
            <color indexed="81"/>
            <rFont val="Tahoma"/>
            <family val="2"/>
          </rPr>
          <t>Illinois has 2 taxes based on net income and the combined rate is 7.18%</t>
        </r>
        <r>
          <rPr>
            <b/>
            <sz val="8"/>
            <color indexed="81"/>
            <rFont val="Tahoma"/>
          </rPr>
          <t xml:space="preserve">
</t>
        </r>
        <r>
          <rPr>
            <sz val="8"/>
            <color indexed="81"/>
            <rFont val="Tahoma"/>
            <family val="2"/>
          </rPr>
          <t xml:space="preserve">This is in a memo from Pat Maloy
</t>
        </r>
        <r>
          <rPr>
            <b/>
            <sz val="8"/>
            <color indexed="81"/>
            <rFont val="Tahoma"/>
          </rPr>
          <t xml:space="preserve">
Sheetal J Bajoria x3-5692:</t>
        </r>
        <r>
          <rPr>
            <sz val="8"/>
            <color indexed="81"/>
            <rFont val="Tahoma"/>
          </rPr>
          <t xml:space="preserve">
2/10/99 : PER MEMO From PAT MALOY TO Clay spears dated 6/29/98 wrt. TN taxes. The state income tax rate was changed from 5% (in Bryans model as of 1/25/99) to 6%.</t>
        </r>
      </text>
    </comment>
    <comment ref="N67"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8" authorId="2" shapeId="0">
      <text>
        <r>
          <rPr>
            <b/>
            <sz val="8"/>
            <color indexed="81"/>
            <rFont val="Tahoma"/>
            <family val="2"/>
          </rPr>
          <t xml:space="preserve">STATE FRANCHISE TAX RATE ON CAPITAL </t>
        </r>
        <r>
          <rPr>
            <sz val="8"/>
            <color indexed="81"/>
            <rFont val="Tahoma"/>
            <family val="2"/>
          </rPr>
          <t xml:space="preserve">
Neil S-C x66527:  3/9/99
Received Confirmation from Pat Maloy on 3/7.  This is the Tax for the 1st year only.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9" authorId="2" shapeId="0">
      <text>
        <r>
          <rPr>
            <b/>
            <sz val="8"/>
            <color indexed="81"/>
            <rFont val="Tahoma"/>
            <family val="2"/>
          </rPr>
          <t xml:space="preserve">STATE FRANCHISE TAX RATE ON CAPITAL </t>
        </r>
        <r>
          <rPr>
            <sz val="8"/>
            <color indexed="81"/>
            <rFont val="Tahoma"/>
            <family val="2"/>
          </rPr>
          <t xml:space="preserve">
Neil S-C, x66527: 3/9/99
Pat Maloy indicated by email that this would be the rate from the second year on</t>
        </r>
        <r>
          <rPr>
            <sz val="8"/>
            <color indexed="81"/>
            <rFont val="Tahoma"/>
          </rPr>
          <t xml:space="preserve"> .</t>
        </r>
      </text>
    </comment>
    <comment ref="N70" authorId="2" shapeId="0">
      <text>
        <r>
          <rPr>
            <sz val="8"/>
            <color indexed="81"/>
            <rFont val="Tahoma"/>
            <family val="2"/>
          </rPr>
          <t>STATE SALES AND USE TAS RATE ON FUEL:
Neil S-C, x66527:  3/9/99
Per Pat Maloy; natural gas is exempt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 ref="N71" authorId="2" shapeId="0">
      <text>
        <r>
          <rPr>
            <b/>
            <sz val="8"/>
            <color indexed="81"/>
            <rFont val="Tahoma"/>
            <family val="2"/>
          </rPr>
          <t>EXCISE UTILITY TAX ON NET INCOME</t>
        </r>
        <r>
          <rPr>
            <sz val="8"/>
            <color indexed="81"/>
            <rFont val="Tahoma"/>
            <family val="2"/>
          </rPr>
          <t xml:space="preserve">
Sheetal J Bajoria x3-5692: 2/2/99:
Per memo from Patrick Maloy to Clay Spears wrt taxes in TN.</t>
        </r>
        <r>
          <rPr>
            <b/>
            <sz val="8"/>
            <color indexed="81"/>
            <rFont val="Tahoma"/>
          </rPr>
          <t xml:space="preserve">
</t>
        </r>
        <r>
          <rPr>
            <sz val="8"/>
            <color indexed="81"/>
            <rFont val="Tahoma"/>
          </rPr>
          <t xml:space="preserve">
Pay greater of 
(state util gross rec) or  (excise util + Franchise )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B74" authorId="1" shapeId="0">
      <text>
        <r>
          <rPr>
            <b/>
            <sz val="8"/>
            <color indexed="81"/>
            <rFont val="Tahoma"/>
          </rPr>
          <t xml:space="preserve">
Sheetal J Bajoria x3-5692:</t>
        </r>
        <r>
          <rPr>
            <sz val="8"/>
            <color indexed="81"/>
            <rFont val="Tahoma"/>
          </rPr>
          <t xml:space="preserve">
`</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nsainsb</author>
  </authors>
  <commentList>
    <comment ref="D68" authorId="0" shapeId="0">
      <text>
        <r>
          <rPr>
            <b/>
            <sz val="8"/>
            <color indexed="81"/>
            <rFont val="Tahoma"/>
          </rPr>
          <t xml:space="preserve">Expensed Cost:
</t>
        </r>
        <r>
          <rPr>
            <sz val="8"/>
            <color indexed="81"/>
            <rFont val="Tahoma"/>
            <family val="2"/>
          </rPr>
          <t xml:space="preserve">
There are cost in Project Cost that are not capitalized.  These have to be expensed.</t>
        </r>
      </text>
    </comment>
  </commentList>
</comments>
</file>

<file path=xl/comments5.xml><?xml version="1.0" encoding="utf-8"?>
<comments xmlns="http://schemas.openxmlformats.org/spreadsheetml/2006/main">
  <authors>
    <author>Sheetal J Bajoria x3-5692</author>
  </authors>
  <commentList>
    <comment ref="D15" authorId="0" shapeId="0">
      <text>
        <r>
          <rPr>
            <b/>
            <sz val="8"/>
            <color indexed="81"/>
            <rFont val="Tahoma"/>
          </rPr>
          <t>Sheetal J Bajoria x3-5692:</t>
        </r>
        <r>
          <rPr>
            <sz val="8"/>
            <color indexed="81"/>
            <rFont val="Tahoma"/>
          </rPr>
          <t xml:space="preserve">
changed to add interest incomre</t>
        </r>
      </text>
    </comment>
    <comment ref="E15" authorId="0" shapeId="0">
      <text>
        <r>
          <rPr>
            <b/>
            <sz val="8"/>
            <color indexed="81"/>
            <rFont val="Tahoma"/>
          </rPr>
          <t>Sheetal J Bajoria x3-5692:</t>
        </r>
        <r>
          <rPr>
            <sz val="8"/>
            <color indexed="81"/>
            <rFont val="Tahoma"/>
          </rPr>
          <t xml:space="preserve">
changed to add interest incomre</t>
        </r>
      </text>
    </comment>
    <comment ref="F15" authorId="0" shapeId="0">
      <text>
        <r>
          <rPr>
            <b/>
            <sz val="8"/>
            <color indexed="81"/>
            <rFont val="Tahoma"/>
          </rPr>
          <t>Sheetal J Bajoria x3-5692:</t>
        </r>
        <r>
          <rPr>
            <sz val="8"/>
            <color indexed="81"/>
            <rFont val="Tahoma"/>
          </rPr>
          <t xml:space="preserve">
changed to add interest incomre</t>
        </r>
      </text>
    </comment>
    <comment ref="G15" authorId="0" shapeId="0">
      <text>
        <r>
          <rPr>
            <b/>
            <sz val="8"/>
            <color indexed="81"/>
            <rFont val="Tahoma"/>
          </rPr>
          <t>Sheetal J Bajoria x3-5692:</t>
        </r>
        <r>
          <rPr>
            <sz val="8"/>
            <color indexed="81"/>
            <rFont val="Tahoma"/>
          </rPr>
          <t xml:space="preserve">
changed to add interest incomre</t>
        </r>
      </text>
    </comment>
    <comment ref="H15" authorId="0" shapeId="0">
      <text>
        <r>
          <rPr>
            <b/>
            <sz val="8"/>
            <color indexed="81"/>
            <rFont val="Tahoma"/>
          </rPr>
          <t>Sheetal J Bajoria x3-5692:</t>
        </r>
        <r>
          <rPr>
            <sz val="8"/>
            <color indexed="81"/>
            <rFont val="Tahoma"/>
          </rPr>
          <t xml:space="preserve">
changed to add interest incomre</t>
        </r>
      </text>
    </comment>
    <comment ref="I15" authorId="0" shapeId="0">
      <text>
        <r>
          <rPr>
            <b/>
            <sz val="8"/>
            <color indexed="81"/>
            <rFont val="Tahoma"/>
          </rPr>
          <t>Sheetal J Bajoria x3-5692:</t>
        </r>
        <r>
          <rPr>
            <sz val="8"/>
            <color indexed="81"/>
            <rFont val="Tahoma"/>
          </rPr>
          <t xml:space="preserve">
changed to add interest incomre</t>
        </r>
      </text>
    </comment>
    <comment ref="J15" authorId="0" shapeId="0">
      <text>
        <r>
          <rPr>
            <b/>
            <sz val="8"/>
            <color indexed="81"/>
            <rFont val="Tahoma"/>
          </rPr>
          <t>Sheetal J Bajoria x3-5692:</t>
        </r>
        <r>
          <rPr>
            <sz val="8"/>
            <color indexed="81"/>
            <rFont val="Tahoma"/>
          </rPr>
          <t xml:space="preserve">
changed to add interest incomre</t>
        </r>
      </text>
    </comment>
    <comment ref="K15" authorId="0" shapeId="0">
      <text>
        <r>
          <rPr>
            <b/>
            <sz val="8"/>
            <color indexed="81"/>
            <rFont val="Tahoma"/>
          </rPr>
          <t>Sheetal J Bajoria x3-5692:</t>
        </r>
        <r>
          <rPr>
            <sz val="8"/>
            <color indexed="81"/>
            <rFont val="Tahoma"/>
          </rPr>
          <t xml:space="preserve">
changed to add interest incomre</t>
        </r>
      </text>
    </comment>
    <comment ref="L15" authorId="0" shapeId="0">
      <text>
        <r>
          <rPr>
            <b/>
            <sz val="8"/>
            <color indexed="81"/>
            <rFont val="Tahoma"/>
          </rPr>
          <t>Sheetal J Bajoria x3-5692:</t>
        </r>
        <r>
          <rPr>
            <sz val="8"/>
            <color indexed="81"/>
            <rFont val="Tahoma"/>
          </rPr>
          <t xml:space="preserve">
changed to add interest incomre</t>
        </r>
      </text>
    </comment>
    <comment ref="M15" authorId="0" shapeId="0">
      <text>
        <r>
          <rPr>
            <b/>
            <sz val="8"/>
            <color indexed="81"/>
            <rFont val="Tahoma"/>
          </rPr>
          <t>Sheetal J Bajoria x3-5692:</t>
        </r>
        <r>
          <rPr>
            <sz val="8"/>
            <color indexed="81"/>
            <rFont val="Tahoma"/>
          </rPr>
          <t xml:space="preserve">
changed to add interest incomre</t>
        </r>
      </text>
    </comment>
    <comment ref="N15" authorId="0" shapeId="0">
      <text>
        <r>
          <rPr>
            <b/>
            <sz val="8"/>
            <color indexed="81"/>
            <rFont val="Tahoma"/>
          </rPr>
          <t>Sheetal J Bajoria x3-5692:</t>
        </r>
        <r>
          <rPr>
            <sz val="8"/>
            <color indexed="81"/>
            <rFont val="Tahoma"/>
          </rPr>
          <t xml:space="preserve">
changed to add interest incomre</t>
        </r>
      </text>
    </comment>
    <comment ref="O15" authorId="0" shapeId="0">
      <text>
        <r>
          <rPr>
            <b/>
            <sz val="8"/>
            <color indexed="81"/>
            <rFont val="Tahoma"/>
          </rPr>
          <t>Sheetal J Bajoria x3-5692:</t>
        </r>
        <r>
          <rPr>
            <sz val="8"/>
            <color indexed="81"/>
            <rFont val="Tahoma"/>
          </rPr>
          <t xml:space="preserve">
changed to add interest incomre</t>
        </r>
      </text>
    </comment>
    <comment ref="P15" authorId="0" shapeId="0">
      <text>
        <r>
          <rPr>
            <b/>
            <sz val="8"/>
            <color indexed="81"/>
            <rFont val="Tahoma"/>
          </rPr>
          <t>Sheetal J Bajoria x3-5692:</t>
        </r>
        <r>
          <rPr>
            <sz val="8"/>
            <color indexed="81"/>
            <rFont val="Tahoma"/>
          </rPr>
          <t xml:space="preserve">
changed to add interest incomre</t>
        </r>
      </text>
    </comment>
    <comment ref="Q15" authorId="0" shapeId="0">
      <text>
        <r>
          <rPr>
            <b/>
            <sz val="8"/>
            <color indexed="81"/>
            <rFont val="Tahoma"/>
          </rPr>
          <t>Sheetal J Bajoria x3-5692:</t>
        </r>
        <r>
          <rPr>
            <sz val="8"/>
            <color indexed="81"/>
            <rFont val="Tahoma"/>
          </rPr>
          <t xml:space="preserve">
changed to add interest incomre</t>
        </r>
      </text>
    </comment>
    <comment ref="R15" authorId="0" shapeId="0">
      <text>
        <r>
          <rPr>
            <b/>
            <sz val="8"/>
            <color indexed="81"/>
            <rFont val="Tahoma"/>
          </rPr>
          <t>Sheetal J Bajoria x3-5692:</t>
        </r>
        <r>
          <rPr>
            <sz val="8"/>
            <color indexed="81"/>
            <rFont val="Tahoma"/>
          </rPr>
          <t xml:space="preserve">
changed to add interest incomre</t>
        </r>
      </text>
    </comment>
    <comment ref="S15" authorId="0" shapeId="0">
      <text>
        <r>
          <rPr>
            <b/>
            <sz val="8"/>
            <color indexed="81"/>
            <rFont val="Tahoma"/>
          </rPr>
          <t>Sheetal J Bajoria x3-5692:</t>
        </r>
        <r>
          <rPr>
            <sz val="8"/>
            <color indexed="81"/>
            <rFont val="Tahoma"/>
          </rPr>
          <t xml:space="preserve">
changed to add interest incomre</t>
        </r>
      </text>
    </comment>
    <comment ref="T15" authorId="0" shapeId="0">
      <text>
        <r>
          <rPr>
            <b/>
            <sz val="8"/>
            <color indexed="81"/>
            <rFont val="Tahoma"/>
          </rPr>
          <t>Sheetal J Bajoria x3-5692:</t>
        </r>
        <r>
          <rPr>
            <sz val="8"/>
            <color indexed="81"/>
            <rFont val="Tahoma"/>
          </rPr>
          <t xml:space="preserve">
changed to add interest incomre</t>
        </r>
      </text>
    </comment>
    <comment ref="U15" authorId="0" shapeId="0">
      <text>
        <r>
          <rPr>
            <b/>
            <sz val="8"/>
            <color indexed="81"/>
            <rFont val="Tahoma"/>
          </rPr>
          <t>Sheetal J Bajoria x3-5692:</t>
        </r>
        <r>
          <rPr>
            <sz val="8"/>
            <color indexed="81"/>
            <rFont val="Tahoma"/>
          </rPr>
          <t xml:space="preserve">
changed to add interest incomre</t>
        </r>
      </text>
    </comment>
    <comment ref="V15" authorId="0" shapeId="0">
      <text>
        <r>
          <rPr>
            <b/>
            <sz val="8"/>
            <color indexed="81"/>
            <rFont val="Tahoma"/>
          </rPr>
          <t>Sheetal J Bajoria x3-5692:</t>
        </r>
        <r>
          <rPr>
            <sz val="8"/>
            <color indexed="81"/>
            <rFont val="Tahoma"/>
          </rPr>
          <t xml:space="preserve">
changed to add interest incomre</t>
        </r>
      </text>
    </comment>
    <comment ref="W15" authorId="0" shapeId="0">
      <text>
        <r>
          <rPr>
            <b/>
            <sz val="8"/>
            <color indexed="81"/>
            <rFont val="Tahoma"/>
          </rPr>
          <t>Sheetal J Bajoria x3-5692:</t>
        </r>
        <r>
          <rPr>
            <sz val="8"/>
            <color indexed="81"/>
            <rFont val="Tahoma"/>
          </rPr>
          <t xml:space="preserve">
changed to add interest incomre</t>
        </r>
      </text>
    </comment>
    <comment ref="X15" authorId="0" shapeId="0">
      <text>
        <r>
          <rPr>
            <b/>
            <sz val="8"/>
            <color indexed="81"/>
            <rFont val="Tahoma"/>
          </rPr>
          <t>Sheetal J Bajoria x3-5692:</t>
        </r>
        <r>
          <rPr>
            <sz val="8"/>
            <color indexed="81"/>
            <rFont val="Tahoma"/>
          </rPr>
          <t xml:space="preserve">
changed to add interest incomre</t>
        </r>
      </text>
    </comment>
    <comment ref="Y15" authorId="0" shapeId="0">
      <text>
        <r>
          <rPr>
            <b/>
            <sz val="8"/>
            <color indexed="81"/>
            <rFont val="Tahoma"/>
          </rPr>
          <t>Sheetal J Bajoria x3-5692:</t>
        </r>
        <r>
          <rPr>
            <sz val="8"/>
            <color indexed="81"/>
            <rFont val="Tahoma"/>
          </rPr>
          <t xml:space="preserve">
changed to add interest incomre</t>
        </r>
      </text>
    </comment>
    <comment ref="Z15" authorId="0" shapeId="0">
      <text>
        <r>
          <rPr>
            <b/>
            <sz val="8"/>
            <color indexed="81"/>
            <rFont val="Tahoma"/>
          </rPr>
          <t>Sheetal J Bajoria x3-5692:</t>
        </r>
        <r>
          <rPr>
            <sz val="8"/>
            <color indexed="81"/>
            <rFont val="Tahoma"/>
          </rPr>
          <t xml:space="preserve">
changed to add interest incomre</t>
        </r>
      </text>
    </comment>
    <comment ref="AA15" authorId="0" shapeId="0">
      <text>
        <r>
          <rPr>
            <b/>
            <sz val="8"/>
            <color indexed="81"/>
            <rFont val="Tahoma"/>
          </rPr>
          <t>Sheetal J Bajoria x3-5692:</t>
        </r>
        <r>
          <rPr>
            <sz val="8"/>
            <color indexed="81"/>
            <rFont val="Tahoma"/>
          </rPr>
          <t xml:space="preserve">
changed to add interest incomre</t>
        </r>
      </text>
    </comment>
    <comment ref="AB15" authorId="0" shapeId="0">
      <text>
        <r>
          <rPr>
            <b/>
            <sz val="8"/>
            <color indexed="81"/>
            <rFont val="Tahoma"/>
          </rPr>
          <t>Sheetal J Bajoria x3-5692:</t>
        </r>
        <r>
          <rPr>
            <sz val="8"/>
            <color indexed="81"/>
            <rFont val="Tahoma"/>
          </rPr>
          <t xml:space="preserve">
changed to add interest incomre</t>
        </r>
      </text>
    </comment>
    <comment ref="A21" authorId="0" shapeId="0">
      <text>
        <r>
          <rPr>
            <b/>
            <sz val="8"/>
            <color indexed="81"/>
            <rFont val="Tahoma"/>
          </rPr>
          <t>Sheetal J Bajoria x3-5692:</t>
        </r>
        <r>
          <rPr>
            <sz val="8"/>
            <color indexed="81"/>
            <rFont val="Tahoma"/>
          </rPr>
          <t xml:space="preserve">
CHANGED FORMULA</t>
        </r>
      </text>
    </comment>
    <comment ref="D21" authorId="0" shapeId="0">
      <text>
        <r>
          <rPr>
            <b/>
            <sz val="8"/>
            <color indexed="81"/>
            <rFont val="Tahoma"/>
          </rPr>
          <t>Sheetal J Bajoria x3-5692:</t>
        </r>
        <r>
          <rPr>
            <sz val="8"/>
            <color indexed="81"/>
            <rFont val="Tahoma"/>
          </rPr>
          <t xml:space="preserve">
chca</t>
        </r>
      </text>
    </comment>
  </commentList>
</comments>
</file>

<file path=xl/comments6.xml><?xml version="1.0" encoding="utf-8"?>
<comments xmlns="http://schemas.openxmlformats.org/spreadsheetml/2006/main">
  <authors>
    <author>Sheetal J Bajoria x3-5692</author>
  </authors>
  <commentList>
    <comment ref="A15"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7.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B45" authorId="1" shapeId="0">
      <text>
        <r>
          <rPr>
            <b/>
            <sz val="8"/>
            <color indexed="81"/>
            <rFont val="Tahoma"/>
          </rPr>
          <t>Neil S-C
Assessable value decreases 12% every 4 years as per memo from Healy.</t>
        </r>
      </text>
    </comment>
  </commentList>
</comments>
</file>

<file path=xl/comments8.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<sst xmlns="http://schemas.openxmlformats.org/spreadsheetml/2006/main" count="1503" uniqueCount="691">
  <si>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</si>
  <si>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</si>
  <si>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</si>
  <si>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</si>
  <si>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</si>
  <si>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</si>
  <si>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</si>
  <si>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</si>
  <si>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</si>
  <si>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</si>
  <si>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</si>
  <si>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</si>
  <si>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</si>
  <si>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</si>
  <si>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</si>
  <si>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</si>
  <si>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</si>
  <si>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</si>
  <si>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</si>
  <si>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</si>
  <si>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</si>
  <si>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</si>
  <si>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</si>
  <si>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</si>
  <si>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</si>
  <si>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</si>
  <si>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</si>
  <si>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</si>
  <si>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</si>
  <si>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</si>
  <si>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</si>
  <si>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</si>
  <si>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</si>
  <si>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</si>
  <si>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</si>
  <si>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</si>
  <si>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</si>
  <si>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</si>
  <si>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</si>
  <si>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</si>
  <si>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</si>
  <si>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</si>
  <si>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</si>
  <si>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</si>
  <si>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</si>
  <si>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</si>
  <si>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</si>
  <si>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</si>
  <si>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</si>
  <si>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</si>
  <si>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</si>
  <si>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</si>
  <si>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</si>
  <si>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</si>
  <si>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</si>
  <si>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</si>
  <si>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</si>
  <si>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</si>
  <si>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</si>
  <si>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</si>
  <si>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</si>
  <si>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</si>
  <si>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</si>
  <si>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</si>
  <si>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</si>
  <si>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</si>
  <si>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</si>
  <si>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</si>
  <si>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</si>
  <si>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</si>
  <si>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</si>
  <si>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</si>
  <si>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</si>
  <si>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</si>
  <si>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</si>
  <si>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</si>
  <si>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</si>
  <si>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</si>
  <si>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</si>
  <si>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</si>
  <si>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</si>
  <si>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</si>
  <si>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</si>
  <si>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</si>
  <si>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</si>
  <si>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</si>
  <si>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</si>
  <si>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</si>
  <si>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</si>
  <si>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</si>
  <si>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</si>
  <si>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</si>
  <si>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</si>
  <si>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</si>
  <si>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</si>
  <si>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</si>
  <si>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</si>
  <si>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</si>
  <si>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</si>
  <si>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</si>
  <si>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</si>
  <si>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</si>
  <si>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</si>
  <si>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</si>
  <si>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</si>
  <si>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</si>
  <si>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</si>
  <si>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</si>
  <si>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</si>
  <si>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</si>
  <si>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</si>
  <si>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</si>
  <si>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</si>
  <si>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</si>
  <si>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</si>
  <si>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</si>
  <si>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</si>
  <si>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</si>
  <si>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</si>
  <si>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</si>
  <si>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</si>
  <si>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</si>
  <si>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</si>
  <si>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</si>
  <si>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</si>
  <si>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</si>
  <si>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</si>
  <si>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</si>
  <si>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</si>
  <si>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</si>
  <si>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</si>
  <si>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</si>
  <si>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</si>
  <si>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</si>
  <si>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</si>
  <si>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</si>
  <si>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</si>
  <si>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</si>
  <si>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</si>
  <si>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</si>
  <si>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</si>
  <si>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</si>
  <si>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</si>
  <si>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</si>
  <si>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</si>
  <si>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</si>
  <si>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</si>
  <si>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</si>
  <si>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</si>
  <si>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</si>
  <si>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</si>
  <si>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</si>
  <si>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Variable O&amp;M $/MWh</t>
  </si>
  <si>
    <t xml:space="preserve">   Total O&amp;M $/kWmo (excluding Debt Service)</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</si>
  <si>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</si>
  <si>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</si>
  <si>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</si>
  <si>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</si>
  <si>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</si>
  <si>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</si>
  <si>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</si>
  <si>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</si>
  <si>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</si>
  <si>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</si>
  <si>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</si>
  <si>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</si>
  <si>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</si>
  <si>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</si>
  <si>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</si>
  <si>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</si>
  <si>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</si>
  <si>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</si>
  <si>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</si>
  <si>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</si>
  <si>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</si>
  <si>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</si>
  <si>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</si>
  <si>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</si>
  <si>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</si>
  <si>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</si>
  <si>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</si>
  <si>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</si>
  <si>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</si>
  <si>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</si>
  <si>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</si>
  <si>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</si>
  <si>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</si>
  <si>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</si>
  <si>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</si>
  <si>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</si>
  <si>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</si>
  <si>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</si>
  <si>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</si>
  <si>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</si>
  <si>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</si>
  <si>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</si>
  <si>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</si>
  <si>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</si>
  <si>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</si>
  <si>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</si>
  <si>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</si>
  <si>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</si>
  <si>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</si>
  <si>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</si>
  <si>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</si>
  <si>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</si>
  <si>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</si>
  <si>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</si>
  <si>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</si>
  <si>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</si>
  <si>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</si>
  <si>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</si>
  <si>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</si>
  <si>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</si>
  <si>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</si>
  <si>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</si>
  <si>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</si>
  <si>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</si>
  <si>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</si>
  <si>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</si>
  <si>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</si>
  <si>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</si>
  <si>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</si>
  <si>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</si>
  <si>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</si>
  <si>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</si>
  <si>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</si>
  <si>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</si>
  <si>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</si>
  <si>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</si>
  <si>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</si>
  <si>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</si>
  <si>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</si>
  <si>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</si>
  <si>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</si>
  <si>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</si>
  <si>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</si>
  <si>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</si>
  <si>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</si>
  <si>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</si>
  <si>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</si>
  <si>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</si>
  <si>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</si>
  <si>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</si>
  <si>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</si>
  <si>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</si>
  <si>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</si>
  <si>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</si>
  <si>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</si>
  <si>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</si>
  <si>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</si>
  <si>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</si>
  <si>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</si>
  <si>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</si>
  <si>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</si>
  <si>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</si>
  <si>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</si>
  <si>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</si>
  <si>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</si>
  <si>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</si>
  <si>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</si>
  <si>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</si>
  <si>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</si>
  <si>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</si>
  <si>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</si>
  <si>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</si>
  <si>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</si>
  <si>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</si>
  <si>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</si>
  <si>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</si>
  <si>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</si>
  <si>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</si>
  <si>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</si>
  <si>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</si>
  <si>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</si>
  <si>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</si>
  <si>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</si>
  <si>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</si>
  <si>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</si>
  <si>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</si>
  <si>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</si>
  <si>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</si>
  <si>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W/Debt Res.</t>
  </si>
  <si>
    <t>W/O Debt Res.</t>
  </si>
  <si>
    <t xml:space="preserve">  EE&amp;CC Project Management</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</si>
  <si>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</si>
  <si>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</si>
  <si>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</si>
  <si>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</si>
  <si>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</si>
  <si>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</si>
  <si>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</si>
  <si>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</si>
  <si>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</si>
  <si>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</si>
  <si>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</si>
  <si>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</si>
  <si>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</si>
  <si>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</si>
  <si>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</si>
  <si>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</si>
  <si>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</si>
  <si>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</si>
  <si>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</si>
  <si>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</si>
  <si>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</si>
  <si>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</si>
  <si>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</si>
  <si>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</si>
  <si>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</si>
  <si>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</si>
  <si>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State Utility Gross Receipts Tax Rate (Gross Rev.)</t>
  </si>
  <si>
    <t>Excise Util tax (Net Income)</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</si>
  <si>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</si>
  <si>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</si>
  <si>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</si>
  <si>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</si>
  <si>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</si>
  <si>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</si>
  <si>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</si>
  <si>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</si>
  <si>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</si>
  <si>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</si>
  <si>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</si>
  <si>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</si>
  <si>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</si>
  <si>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</si>
  <si>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Property Tax</t>
  </si>
  <si>
    <t>Avg Annual Int Rate Earned on EBITDA and Maint Res.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</si>
  <si>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</si>
  <si>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</si>
  <si>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</si>
  <si>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</si>
  <si>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</si>
  <si>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</si>
  <si>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</si>
  <si>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</si>
  <si>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</si>
  <si>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</si>
  <si>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</si>
  <si>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</si>
  <si>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</si>
  <si>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</si>
  <si>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</si>
  <si>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</si>
  <si>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Start-Up Fuel</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</si>
  <si>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</si>
  <si>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</si>
  <si>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</si>
  <si>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</si>
  <si>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</si>
  <si>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</si>
  <si>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</si>
  <si>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</si>
  <si>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</si>
  <si>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</si>
  <si>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</si>
  <si>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</si>
  <si>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</si>
  <si>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</si>
  <si>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</si>
  <si>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</si>
  <si>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</si>
  <si>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</si>
  <si>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</si>
  <si>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</si>
  <si>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</si>
  <si>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</si>
  <si>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</si>
  <si>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</si>
  <si>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</si>
  <si>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WILTON CENTER, Will County, IL</t>
  </si>
  <si>
    <t>GE 7EA</t>
  </si>
  <si>
    <t>Cumulative Principal</t>
  </si>
  <si>
    <t>MW'hrs</t>
  </si>
  <si>
    <t xml:space="preserve"> $/MWh</t>
  </si>
  <si>
    <t xml:space="preserve">  IDC on Project Cost</t>
  </si>
  <si>
    <t xml:space="preserve">Base Year </t>
  </si>
  <si>
    <t>Base Year</t>
  </si>
  <si>
    <t>NPV at 15% 20 years After Tax</t>
  </si>
  <si>
    <t>NPV at 15% 20 years Before Tax</t>
  </si>
  <si>
    <t>Annual Revenues</t>
  </si>
  <si>
    <t>Annual Expenses</t>
  </si>
  <si>
    <t>YEAR</t>
  </si>
  <si>
    <t>1.  Models Sent to Banks on 2/23/99 - Neil Sainsbury-Carter</t>
  </si>
  <si>
    <t>Balance Sheet</t>
  </si>
  <si>
    <t>Assets:</t>
  </si>
  <si>
    <t>Cash</t>
  </si>
  <si>
    <t>Accounts Receivable</t>
  </si>
  <si>
    <t>Inventories</t>
  </si>
  <si>
    <t>Other Current Assets</t>
  </si>
  <si>
    <t>Debt Service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</si>
  <si>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</si>
  <si>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</si>
  <si>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</si>
  <si>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</si>
  <si>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</si>
  <si>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</si>
  <si>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</si>
  <si>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</si>
  <si>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</si>
  <si>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</si>
  <si>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</si>
  <si>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</si>
  <si>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</si>
  <si>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</si>
  <si>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</si>
  <si>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</si>
  <si>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Total Liabilities &amp; Equity</t>
  </si>
  <si>
    <t>Proof</t>
  </si>
  <si>
    <t>Retained earnings</t>
  </si>
  <si>
    <t>Total stockholders' equity</t>
  </si>
  <si>
    <t>Paid-In-Capital</t>
  </si>
  <si>
    <t>Total Book Taxes</t>
  </si>
  <si>
    <t>Total Cash Taxes</t>
  </si>
  <si>
    <t xml:space="preserve">  Total Deferred Tax Liability</t>
  </si>
  <si>
    <t xml:space="preserve">  Cumulative DTL</t>
  </si>
  <si>
    <t xml:space="preserve">  Total Cash</t>
  </si>
  <si>
    <t>Maintenance Reserve</t>
  </si>
  <si>
    <t>Does Balance Sheet Balance</t>
  </si>
  <si>
    <t xml:space="preserve">   Paid-In-Capital</t>
  </si>
  <si>
    <t>2. Changed the Basis for the Franchise Tax from Asset Value to Paid-In-Capital According to a Jan. 6, 1999 memo from Patrick Maloy and canvo with Scott Healy and Patrick.</t>
  </si>
  <si>
    <t>Years of Tax Abatement</t>
  </si>
  <si>
    <t>All-in Mileage Rate</t>
  </si>
  <si>
    <t xml:space="preserve">   Annual Tax (with abatement)</t>
  </si>
  <si>
    <t>3. Changed the Property Tax calculation based on Polina Corporate Real Estate Analysis.  Changed basis and mileage rate and took out the descalation on market value.</t>
  </si>
  <si>
    <t>4. Changed the Drawdown Schedule to the 2/23/99  version.  Accelerated Trubine Payments</t>
  </si>
  <si>
    <t xml:space="preserve">   Mileage Rate (Increase 1.5% / Year)</t>
  </si>
  <si>
    <t>5. Property Tax. Decreased the assesable value 12% every 4 years and escalated the mileage rate 1.5% annually.</t>
  </si>
  <si>
    <t xml:space="preserve">  Contingency on Hard &amp; Soft Costs</t>
  </si>
  <si>
    <t xml:space="preserve">  Contingency on NEPCO</t>
  </si>
  <si>
    <t xml:space="preserve">   Total Contingency</t>
  </si>
  <si>
    <t>CHECKS:</t>
  </si>
  <si>
    <t>RETURN ON EQUITY:</t>
  </si>
  <si>
    <t>Total Depreciable Base</t>
  </si>
  <si>
    <t>Total Project Cost</t>
  </si>
  <si>
    <t xml:space="preserve">   Undepreciated Cost</t>
  </si>
  <si>
    <t>6.  Contingency Calculation Changed: Was 5% on total cost and is now 3% on Total Hard and Soft Costs and an addition 5% on NEPCO</t>
  </si>
  <si>
    <t>FERC Fee</t>
  </si>
  <si>
    <t xml:space="preserve">  Water Treatment</t>
  </si>
  <si>
    <t xml:space="preserve">  FERC Fee</t>
  </si>
  <si>
    <t xml:space="preserve">  Variable Maintenance</t>
  </si>
  <si>
    <t>Total Variable Expenses</t>
  </si>
  <si>
    <t>EXPENSES</t>
  </si>
  <si>
    <t xml:space="preserve">   Total Fixed G&amp;A</t>
  </si>
  <si>
    <t>TOTAL EXPENSES</t>
  </si>
  <si>
    <t>7.  Added a FERC Fee to Variable O&amp;M.  As this is a pass through total returns do not change while revenues and expenses increase the same amount.</t>
  </si>
  <si>
    <t>8.  Increased the Utilities Fee to reflect the new estimate we have for the 1999's</t>
  </si>
  <si>
    <t xml:space="preserve">   EI O&amp;M Mobilization </t>
  </si>
  <si>
    <t>9.  Depreciate the EI O&amp;M Mobilization all in the first year.</t>
  </si>
  <si>
    <t>REVENUES</t>
  </si>
  <si>
    <t>Startup Fuel Mmbtu/Turbine</t>
  </si>
  <si>
    <t>10.  Changed the Start Up Fuel to reflect the MMBTU's/Turbine of Caledonia which has GE's.  No effect on returns as is a passthrough.</t>
  </si>
  <si>
    <t>Fuel</t>
  </si>
  <si>
    <t>Debt Service</t>
  </si>
  <si>
    <t xml:space="preserve">   Beginning NOL's</t>
  </si>
  <si>
    <t xml:space="preserve">   New NOL's</t>
  </si>
  <si>
    <t xml:space="preserve">   Ending NOL's</t>
  </si>
  <si>
    <t xml:space="preserve">   State Cash Taxes Payable/(Benefit)</t>
  </si>
  <si>
    <t>Use Fed NOL Carryforward?</t>
  </si>
  <si>
    <t>Use State NOL Carryforward?</t>
  </si>
  <si>
    <t xml:space="preserve">   Total Federal Taxes</t>
  </si>
  <si>
    <t xml:space="preserve">   Fed Cash Taxes Payable/(Benefit)</t>
  </si>
  <si>
    <t>State Franchise Tax Rate (Capital or BV of assets) Yr. 1</t>
  </si>
  <si>
    <t>State Franchise Tax Rate (Capital or BV of assets) Yr. 2 - 20</t>
  </si>
  <si>
    <t>11.  Taxes. The State tax had 2 components which we are aggregating.  Rate went from 4.6% to 7.18%.  Added State NOL's and took out the State tax being included in the Fed NOL calc.</t>
  </si>
  <si>
    <t xml:space="preserve">      Changed the State Franchise Tax Rate.  It was .15% for the term.  Now this rate changes to .10% from the second year on.  All per Pat Maloy</t>
  </si>
  <si>
    <t>FIXED G&amp;A:</t>
  </si>
  <si>
    <t>OPERATING COST SUMMARY:</t>
  </si>
  <si>
    <t>State Income Tax</t>
  </si>
  <si>
    <t xml:space="preserve">   Adjusted Pretax Book Income</t>
  </si>
  <si>
    <t xml:space="preserve">   State Taxable Income</t>
  </si>
  <si>
    <t xml:space="preserve">   NOL Expired  (15 Year)</t>
  </si>
  <si>
    <t xml:space="preserve">   Less: Federal Tax Depreciation</t>
  </si>
  <si>
    <t xml:space="preserve">   Less: State Taxes</t>
  </si>
  <si>
    <t xml:space="preserve">   Federal Tax Rate</t>
  </si>
  <si>
    <t>12.  Changed the format of the State Taxes making Franchise and Gross Receipts deductible for State Income Tax purposes.</t>
  </si>
  <si>
    <t>13.  Changed the MACR tables</t>
  </si>
  <si>
    <t>Gas Pipeline Metering Station</t>
  </si>
  <si>
    <t xml:space="preserve">   Gas Pipeline Metering</t>
  </si>
  <si>
    <t>14.  Added to Fixed G&amp;A $30k for Gas Pipeline Metering</t>
  </si>
  <si>
    <t>15.  Changed the Major Maintenance according to the Matrix provided by the OEC.</t>
  </si>
  <si>
    <t>16.  New Drawdown Schedule</t>
  </si>
  <si>
    <t>Total NPV</t>
  </si>
  <si>
    <t>Delta</t>
  </si>
  <si>
    <t>17.  Updated model with the new Contol Budget version #1</t>
  </si>
  <si>
    <t>18.  Changed the IDC calculation to include half of the current month Draw.</t>
  </si>
  <si>
    <t xml:space="preserve">  Sound Control</t>
  </si>
  <si>
    <t>19.  Control Budget Version #2 and the new Draw Schedule.</t>
  </si>
  <si>
    <t>20.  Increased the Capacity from 600 to 614 based on Scott Healy's recommendation.</t>
  </si>
  <si>
    <t>Paste Range for Franchise Tax Calc</t>
  </si>
  <si>
    <t>Note:  If this range is moved the MACRO will not paste into the correct range.</t>
  </si>
  <si>
    <t>Operating Taxes</t>
  </si>
  <si>
    <t xml:space="preserve">   Franchise Tax</t>
  </si>
  <si>
    <t xml:space="preserve">   Gross Receipts Tax</t>
  </si>
  <si>
    <t xml:space="preserve">   Total Operation Taxes</t>
  </si>
  <si>
    <t>21.  Added the Franchise Tax into EBITDA.</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</si>
  <si>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</si>
  <si>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</si>
  <si>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</si>
  <si>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22.  Added a full year to year 20 instead of 5 months</t>
  </si>
  <si>
    <t>O&amp;M Fees</t>
  </si>
  <si>
    <t>Admin Fee's ( $1M Prorated by Project MW's )</t>
  </si>
  <si>
    <t xml:space="preserve">   O&amp;M Fee</t>
  </si>
  <si>
    <t xml:space="preserve">   Admin Fee</t>
  </si>
  <si>
    <t>23.  Rolled EI Mob into Turnkey to Depreciate and changed Book Deprec to 30 years.</t>
  </si>
  <si>
    <t>24.  Added an Admin Fee to O&amp;M prorating $1M on a MW basis.</t>
  </si>
  <si>
    <t>25.  Changed Interest Income to be 5% of 25% of EBITDA.</t>
  </si>
  <si>
    <t>26.  Changed the Site MW's from 614 to 601.5</t>
  </si>
  <si>
    <t>27.  Changed the # on Start per Yr. To 120 from 115.  This changes the Start Fuel Expense which is a pass through.</t>
  </si>
  <si>
    <t>Fixed</t>
  </si>
  <si>
    <t>28.  Changed the Gas Price to Fixed 2.5</t>
  </si>
  <si>
    <t>1999  US$</t>
  </si>
  <si>
    <t>2000-2003 Ave</t>
  </si>
  <si>
    <t xml:space="preserve">   Total Operating Taxes</t>
  </si>
  <si>
    <t xml:space="preserve">   Operating Taxes $/Kwmo</t>
  </si>
  <si>
    <t xml:space="preserve">   Fuel Expense</t>
  </si>
  <si>
    <t xml:space="preserve">   TOTAL VEP</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</si>
  <si>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</si>
  <si>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</si>
  <si>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</si>
  <si>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</si>
  <si>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</si>
  <si>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</si>
  <si>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</si>
  <si>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</si>
  <si>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</si>
  <si>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</si>
  <si>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</si>
  <si>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</si>
  <si>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</si>
  <si>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</si>
  <si>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</si>
  <si>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</si>
  <si>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Per Start Expenses:</t>
  </si>
  <si>
    <t>Total Per Start Expenses</t>
  </si>
  <si>
    <t>Fixed Expenses:</t>
  </si>
  <si>
    <t>29.  Added a per start payment which causes the Maj. Main to be treated as a passthrough.</t>
  </si>
  <si>
    <t>30.  Version #4 of the Control Budget and took out the Debt Reserve.</t>
  </si>
  <si>
    <t xml:space="preserve">  Mobilization Fuel</t>
  </si>
  <si>
    <t>$/Yr. (000's)</t>
  </si>
  <si>
    <t xml:space="preserve">   Total  Operating Costs</t>
  </si>
  <si>
    <t>$/Start</t>
  </si>
  <si>
    <t>FIXED OPERATING COSTS:</t>
  </si>
  <si>
    <t>Fixed Operating Costs</t>
  </si>
  <si>
    <t>Variable Operating Costs</t>
  </si>
  <si>
    <t>Basis for Property Tax</t>
  </si>
  <si>
    <t xml:space="preserve">   Total Variable Costs</t>
  </si>
  <si>
    <t xml:space="preserve">   Total Fixed Expenses</t>
  </si>
  <si>
    <t>Property Taxes</t>
  </si>
  <si>
    <t>Total Fixed G&amp;A:</t>
  </si>
  <si>
    <t xml:space="preserve">   Total Start Up Cost</t>
  </si>
  <si>
    <t xml:space="preserve">   Total Variable Operating Cost</t>
  </si>
  <si>
    <t xml:space="preserve">   Total Fixed (incl. G&amp;A)</t>
  </si>
  <si>
    <t xml:space="preserve">   Fixed Operating Cost</t>
  </si>
  <si>
    <t xml:space="preserve">   Variable Operating Cost $/kWmo</t>
  </si>
  <si>
    <t xml:space="preserve">   Fixed Operating Cost (incl G&amp;A) $/kWmo</t>
  </si>
  <si>
    <t xml:space="preserve">   Total Operating Cost $/kWmo</t>
  </si>
  <si>
    <t xml:space="preserve">   Start Up Cost $/ KW mo</t>
  </si>
  <si>
    <t xml:space="preserve">   Total Operating Cost $/kWmo </t>
  </si>
  <si>
    <t xml:space="preserve">   Start Up Cost $/MWh</t>
  </si>
  <si>
    <t>Operating Taxes ('02 Disc.)</t>
  </si>
  <si>
    <t>Property Tax ('02 Disc.)</t>
  </si>
  <si>
    <t>VARIABLE PAYMENTS:</t>
  </si>
  <si>
    <t>Variable Energy Payment</t>
  </si>
  <si>
    <t>VARIABLE OPERATING COSTS:</t>
  </si>
  <si>
    <t>$/ MW h</t>
  </si>
  <si>
    <t>Start Up Payment / Turbine</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</si>
  <si>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</si>
  <si>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</si>
  <si>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</si>
  <si>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</si>
  <si>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</si>
  <si>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</si>
  <si>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</si>
  <si>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</si>
  <si>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</si>
  <si>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</si>
  <si>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</si>
  <si>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</si>
  <si>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</si>
  <si>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</si>
  <si>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</si>
  <si>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</si>
  <si>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</si>
  <si>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Variable Revenue</t>
  </si>
  <si>
    <t>Start Payment/Turbine</t>
  </si>
  <si>
    <t>31.  Put in the new ICF Capacity Curve.</t>
  </si>
  <si>
    <t>MMBTU's</t>
  </si>
  <si>
    <t>31.  Changed the start of Fuel to 255 MMBTU / Start / Turbine</t>
  </si>
  <si>
    <t>Start Up MMBTU's</t>
  </si>
  <si>
    <t xml:space="preserve">   Land</t>
  </si>
  <si>
    <t>32.  Confirmed Capacity at 608 MW up from 601.5</t>
  </si>
  <si>
    <t>33.  Capacity Price to $4.00/ kw-mo</t>
  </si>
  <si>
    <t>Utility: Start Up Power</t>
  </si>
  <si>
    <t>Utilities: Start Up Power</t>
  </si>
  <si>
    <t>Utilities: Facilities Load</t>
  </si>
  <si>
    <t xml:space="preserve">   Utilities: Start Up Power</t>
  </si>
  <si>
    <t xml:space="preserve">   Utilities: Facility Load</t>
  </si>
  <si>
    <t>34.  Broke out Utlity Cost between the Facilities Load and Start Up Power.</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</si>
  <si>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</si>
  <si>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</si>
  <si>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</si>
  <si>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</si>
  <si>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</si>
  <si>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</si>
  <si>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</si>
  <si>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</si>
  <si>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</si>
  <si>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</si>
  <si>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</si>
  <si>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</si>
  <si>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</si>
  <si>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ALTERNATE DEBT STRUCTURE</t>
  </si>
  <si>
    <t>35.  Updated the Fuel Usage for Start Up and Version #5 of the Control Budget which only had a nominal change in the IDC.</t>
  </si>
  <si>
    <t>36.  Changed the Start Date to July 1st from June 1st</t>
  </si>
  <si>
    <t>Degraded Capacity</t>
  </si>
  <si>
    <t>On Merchant Hours Only</t>
  </si>
  <si>
    <t>37.  Added in Degredation on Capacity for the Merchant output</t>
  </si>
  <si>
    <t>Marketing Fee (Merchant Only)</t>
  </si>
  <si>
    <t>$/kw-mo</t>
  </si>
  <si>
    <t xml:space="preserve">   Marketing Fee</t>
  </si>
  <si>
    <t>38.  Added a .07 / kw-mo  Marketing Fee</t>
  </si>
  <si>
    <t>Kaiser Comed Base $/kw-year (in 1998 real $)</t>
  </si>
  <si>
    <t>Kaiser Comed Low $/kw-year (in 1998 real $)</t>
  </si>
  <si>
    <t>Kaiser Peak as of 1998 ( $ / MWh )</t>
  </si>
  <si>
    <t>Kaiser Off Peak as of 1998 ( $ / MWh )</t>
  </si>
  <si>
    <t>39.  New Kaiser Curves that are in $1998.</t>
  </si>
  <si>
    <t>40.  Revised the Start Up Fuel Quantity</t>
  </si>
  <si>
    <t>41.  Control Budget Version # 7</t>
  </si>
  <si>
    <t>42.  Moved the Start Date to June 1st giving 7 months for Yr. 1</t>
  </si>
  <si>
    <t>Energy Margin</t>
  </si>
  <si>
    <t>Capacity Factor</t>
  </si>
  <si>
    <t>Yrs.</t>
  </si>
  <si>
    <t>End Month</t>
  </si>
  <si>
    <t xml:space="preserve">   Peak Capacity Sales Rate (MW)</t>
  </si>
  <si>
    <t xml:space="preserve">   Peak Energy Sales (MW)</t>
  </si>
  <si>
    <t xml:space="preserve">   Energy Margin</t>
  </si>
  <si>
    <t>43.  Incorporated the Enegry Margin on 2% of the Capacity</t>
  </si>
  <si>
    <t>44.  Reduced the Maj. Maint in thr Block Payment to 1/3 of the expense as Kaiser is incorporating 2/3 of it in the Capacity Price.</t>
  </si>
  <si>
    <t>Consolidated Check</t>
  </si>
  <si>
    <t>Plus : L/C</t>
  </si>
  <si>
    <t>Less:  Interest</t>
  </si>
  <si>
    <t xml:space="preserve">    Difference</t>
  </si>
  <si>
    <t>Wilton</t>
  </si>
  <si>
    <t>PPA Plant Output Summary</t>
  </si>
  <si>
    <t>Merchant Plant Output Summary</t>
  </si>
  <si>
    <t xml:space="preserve">   Block Payment</t>
  </si>
  <si>
    <t>45.  Changed the Start Date to 5/30/20</t>
  </si>
  <si>
    <t>46.  Control Budget Version # 9</t>
  </si>
  <si>
    <t>Alternate</t>
  </si>
  <si>
    <t>48.  Changed the escalation on the $.07 Marketing Fee.  The base year is now 2003.</t>
  </si>
  <si>
    <t>47.  Changed the Financing Structure to the CSFB structure</t>
  </si>
  <si>
    <t>49.  Control Budget Version #11</t>
  </si>
  <si>
    <t>50.  The last years Block Payment was prorating the Major Main. Portion while the cost was not.</t>
  </si>
  <si>
    <t xml:space="preserve">   Capacity ($/kw-mo) - Fixed PPA</t>
  </si>
  <si>
    <t xml:space="preserve">   Capacity ($/kw-mo) - Merchant</t>
  </si>
  <si>
    <t>51.  Control Budget Version #12 and change of last year energy income to partial year as well as cost.</t>
  </si>
  <si>
    <t xml:space="preserve">  EE&amp;CC , Overhead and Fees</t>
  </si>
  <si>
    <t>52.  Control Budget Revision #15</t>
  </si>
  <si>
    <t>53.  Adjusted the Property Tax downward as per Scott Healy</t>
  </si>
  <si>
    <t xml:space="preserve">  Wilton Center Expensed</t>
  </si>
  <si>
    <t>54.  Control Budget revision #18</t>
  </si>
  <si>
    <t>EGC EBITDA</t>
  </si>
  <si>
    <t>ISO Capacity Rating (MW)</t>
  </si>
  <si>
    <t>55.  Using the ISO ratings during the Merchant Period.</t>
  </si>
  <si>
    <t xml:space="preserve">  NEPCO, Overheads and Fees</t>
  </si>
  <si>
    <t xml:space="preserve">  Base Fee</t>
  </si>
  <si>
    <t xml:space="preserve">  NEPCO Scope (Reimbursable)</t>
  </si>
  <si>
    <t xml:space="preserve">  Switchyard</t>
  </si>
  <si>
    <t xml:space="preserve">  Union Adders/Other</t>
  </si>
  <si>
    <t>56.  Control Budget Version # 20</t>
  </si>
  <si>
    <t>57.  Control Budget Verssion # 21</t>
  </si>
  <si>
    <t>Estimated Cost Schedule for 120 Starts</t>
  </si>
  <si>
    <t xml:space="preserve">   Project Cost Expensed</t>
  </si>
  <si>
    <t xml:space="preserve">  Plano Capitalized Expenses</t>
  </si>
  <si>
    <t>58.  Expensed the Plano Expenses and Wilton Expenses that we should not be capitalizing.</t>
  </si>
  <si>
    <t>Start Up Fuel (MMBTU/Turbine)</t>
  </si>
  <si>
    <t>59.  Added in a property tax accrual in the year 2000.  Before we assumed that the convention would follow Mississippi</t>
  </si>
  <si>
    <t>60. Update costs from weekly control sheet</t>
  </si>
  <si>
    <t>61. Update costs from weekly control sheet</t>
  </si>
  <si>
    <t>62.  Change to IDC and Commitment Fee</t>
  </si>
  <si>
    <t>64 The changes that were made were to IDC &amp; to Commitment Fee.</t>
  </si>
  <si>
    <t>65.  Changes made to Wilton Center Expenses</t>
  </si>
  <si>
    <t>65.  Changes made to Development Costs and No Financing Charges in Model ($1,500)</t>
  </si>
  <si>
    <t>66 No changes made to Nepco scope</t>
  </si>
  <si>
    <t>66 No changes made to IDC and NEPCO</t>
  </si>
  <si>
    <t>67. No changes made to IDC and NEPCO</t>
  </si>
  <si>
    <t>67. Changes made to development and nepco</t>
  </si>
  <si>
    <t xml:space="preserve">  Power and Water Interconnect</t>
  </si>
  <si>
    <t>67. Changes made to nepco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</si>
</sst>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0">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sz val="8"/>
      <color indexed="81"/>
      <name val="Tahoma"/>
    </font>
    <font>
      <sz val="10"/>
      <color indexed="12"/>
      <name val="Arial"/>
      <family val="2"/>
    </font>
    <font>
      <sz val="10"/>
      <name val="Arial"/>
      <family val="2"/>
    </font>
    <font>
      <sz val="9"/>
      <name val="Arial"/>
      <family val="2"/>
    </font>
    <font>
      <b/>
      <u/>
      <sz val="8"/>
      <name val="Arial"/>
      <family val="2"/>
    </font>
    <font>
      <sz val="10"/>
      <name val="Times New Roman"/>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sz val="10"/>
      <name val="Times New Roman"/>
      <family val="1"/>
    </font>
    <font>
      <b/>
      <sz val="8"/>
      <name val="Times New Roman"/>
      <family val="1"/>
    </font>
    <font>
      <u/>
      <sz val="8"/>
      <name val="Times New Roman"/>
      <family val="1"/>
    </font>
    <font>
      <b/>
      <sz val="12"/>
      <name val="Times New Roman"/>
      <family val="1"/>
    </font>
    <font>
      <b/>
      <u/>
      <sz val="8"/>
      <name val="Times New Roman"/>
      <family val="1"/>
    </font>
    <font>
      <b/>
      <i/>
      <u/>
      <sz val="8"/>
      <name val="Times New Roman"/>
      <family val="1"/>
    </font>
    <font>
      <u val="singleAccounting"/>
      <sz val="8"/>
      <name val="Times New Roman"/>
      <family val="1"/>
    </font>
    <font>
      <sz val="8"/>
      <color indexed="12"/>
      <name val="Times New Roman"/>
      <family val="1"/>
    </font>
    <font>
      <u val="doubleAccounting"/>
      <sz val="8"/>
      <name val="Times New Roman"/>
      <family val="1"/>
    </font>
    <font>
      <b/>
      <u/>
      <sz val="10"/>
      <name val="Times New Roman"/>
      <family val="1"/>
    </font>
    <font>
      <u/>
      <sz val="10"/>
      <name val="Times New Roman"/>
      <family val="1"/>
    </font>
    <font>
      <sz val="9"/>
      <name val="Times New Roman"/>
      <family val="1"/>
    </font>
    <font>
      <sz val="9"/>
      <color indexed="12"/>
      <name val="Times New Roman"/>
      <family val="1"/>
    </font>
    <font>
      <u/>
      <sz val="9"/>
      <name val="Times New Roman"/>
      <family val="1"/>
    </font>
    <font>
      <sz val="9"/>
      <color indexed="10"/>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sz val="9"/>
      <color indexed="56"/>
      <name val="Times New Roman"/>
      <family val="1"/>
    </font>
    <font>
      <u val="singleAccounting"/>
      <sz val="9"/>
      <name val="Times New Roman"/>
      <family val="1"/>
    </font>
    <font>
      <b/>
      <sz val="9"/>
      <color indexed="12"/>
      <name val="Times New Roman"/>
      <family val="1"/>
    </font>
    <font>
      <sz val="8"/>
      <color indexed="10"/>
      <name val="Times New Roman"/>
      <family val="1"/>
    </font>
    <font>
      <sz val="8"/>
      <color indexed="8"/>
      <name val="Times New Roman"/>
      <family val="1"/>
    </font>
    <font>
      <b/>
      <i/>
      <sz val="8"/>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sz val="8"/>
      <color indexed="16"/>
      <name val="Times New Roman"/>
      <family val="1"/>
    </font>
    <font>
      <b/>
      <u/>
      <sz val="12"/>
      <color indexed="8"/>
      <name val="Times New Roman"/>
      <family val="1"/>
    </font>
    <font>
      <i/>
      <u/>
      <sz val="8"/>
      <name val="Times New Roman"/>
      <family val="1"/>
    </font>
    <font>
      <b/>
      <u val="singleAccounting"/>
      <sz val="8"/>
      <name val="Times New Roman"/>
      <family val="1"/>
    </font>
    <font>
      <b/>
      <u/>
      <sz val="9"/>
      <color indexed="12"/>
      <name val="Times New Roman"/>
      <family val="1"/>
    </font>
    <font>
      <sz val="10"/>
      <color indexed="12"/>
      <name val="Times New Roman"/>
      <family val="1"/>
    </font>
    <font>
      <sz val="10"/>
      <color indexed="10"/>
      <name val="Times New Roman"/>
      <family val="1"/>
    </font>
    <font>
      <b/>
      <sz val="10"/>
      <color indexed="12"/>
      <name val="Times New Roman"/>
      <family val="1"/>
    </font>
    <font>
      <b/>
      <sz val="12"/>
      <color indexed="10"/>
      <name val="Times New Roman"/>
      <family val="1"/>
    </font>
    <font>
      <sz val="8"/>
      <color indexed="9"/>
      <name val="Times New Roman"/>
      <family val="1"/>
    </font>
    <font>
      <sz val="16"/>
      <name val="Times New Roman"/>
      <family val="1"/>
    </font>
    <font>
      <b/>
      <i/>
      <sz val="8"/>
      <color indexed="8"/>
      <name val="Times New Roman"/>
      <family val="1"/>
    </font>
    <font>
      <b/>
      <sz val="8"/>
      <color indexed="8"/>
      <name val="Times New Roman"/>
      <family val="1"/>
    </font>
    <font>
      <b/>
      <sz val="8"/>
      <color indexed="12"/>
      <name val="Times New Roman"/>
      <family val="1"/>
    </font>
    <font>
      <b/>
      <sz val="8"/>
      <color indexed="48"/>
      <name val="Times New Roman"/>
      <family val="1"/>
    </font>
    <font>
      <i/>
      <sz val="8"/>
      <name val="Times New Roman"/>
      <family val="1"/>
    </font>
    <font>
      <u val="singleAccounting"/>
      <sz val="8"/>
      <color indexed="12"/>
      <name val="Times New Roman"/>
      <family val="1"/>
    </font>
    <font>
      <u/>
      <sz val="10"/>
      <color indexed="12"/>
      <name val="Times New Roman"/>
      <family val="1"/>
    </font>
    <font>
      <u val="singleAccounting"/>
      <sz val="10"/>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2"/>
        <bgColor indexed="64"/>
      </patternFill>
    </fill>
    <fill>
      <patternFill patternType="solid">
        <fgColor indexed="40"/>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5">
    <xf numFmtId="0" fontId="0" fillId="0" borderId="0"/>
    <xf numFmtId="0" fontId="20"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3"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29" fillId="0" borderId="0" applyNumberFormat="0" applyFill="0" applyBorder="0" applyAlignment="0" applyProtection="0"/>
    <xf numFmtId="14" fontId="2" fillId="0" borderId="0">
      <protection locked="0"/>
    </xf>
    <xf numFmtId="14" fontId="2" fillId="0" borderId="0">
      <protection locked="0"/>
    </xf>
    <xf numFmtId="0" fontId="10" fillId="0" borderId="2" applyNumberFormat="0" applyFill="0" applyAlignment="0" applyProtection="0"/>
    <xf numFmtId="10" fontId="7" fillId="5" borderId="3" applyNumberFormat="0" applyBorder="0" applyAlignment="0" applyProtection="0"/>
    <xf numFmtId="37" fontId="31" fillId="0" borderId="0"/>
    <xf numFmtId="170" fontId="32"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42">
    <xf numFmtId="0" fontId="0" fillId="0" borderId="0" xfId="0"/>
    <xf numFmtId="37" fontId="5" fillId="0" borderId="0" xfId="21" applyAlignment="1"/>
    <xf numFmtId="37" fontId="5" fillId="0" borderId="0" xfId="21" applyFill="1" applyAlignment="1"/>
    <xf numFmtId="39" fontId="5" fillId="0" borderId="0" xfId="21" applyNumberFormat="1" applyAlignmen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2" fillId="0" borderId="0" xfId="0" applyFont="1"/>
    <xf numFmtId="206" fontId="12" fillId="0" borderId="0" xfId="3" applyNumberFormat="1" applyFont="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3" fillId="0" borderId="0" xfId="0" applyNumberFormat="1" applyFont="1" applyProtection="1"/>
    <xf numFmtId="1" fontId="7" fillId="0" borderId="0" xfId="0" applyNumberFormat="1" applyFont="1" applyBorder="1"/>
    <xf numFmtId="0" fontId="5" fillId="0" borderId="0" xfId="0" applyFont="1"/>
    <xf numFmtId="0" fontId="16" fillId="0" borderId="0" xfId="0" applyFont="1"/>
    <xf numFmtId="0" fontId="2" fillId="0" borderId="0" xfId="0" applyFont="1"/>
    <xf numFmtId="0" fontId="38" fillId="0" borderId="0" xfId="0" applyFont="1"/>
    <xf numFmtId="0" fontId="76" fillId="0" borderId="0" xfId="0" applyFont="1"/>
    <xf numFmtId="0" fontId="77" fillId="0" borderId="0" xfId="0" applyFont="1"/>
    <xf numFmtId="206" fontId="66" fillId="0" borderId="0" xfId="3" applyNumberFormat="1" applyFont="1"/>
    <xf numFmtId="38" fontId="66" fillId="0" borderId="0" xfId="0" applyNumberFormat="1" applyFont="1"/>
    <xf numFmtId="206" fontId="77" fillId="0" borderId="0" xfId="3" applyNumberFormat="1" applyFont="1" applyBorder="1"/>
    <xf numFmtId="0" fontId="66" fillId="0" borderId="0" xfId="0" applyFont="1" applyBorder="1"/>
    <xf numFmtId="0" fontId="66" fillId="0" borderId="0" xfId="0" applyFont="1"/>
    <xf numFmtId="37" fontId="66" fillId="0" borderId="0" xfId="21" applyFont="1" applyAlignment="1">
      <alignment horizontal="right"/>
    </xf>
    <xf numFmtId="37" fontId="66" fillId="0" borderId="0" xfId="21" applyFont="1" applyAlignment="1"/>
    <xf numFmtId="37" fontId="79" fillId="0" borderId="0" xfId="21" applyFont="1" applyAlignment="1">
      <alignment horizontal="left"/>
    </xf>
    <xf numFmtId="39" fontId="66" fillId="0" borderId="0" xfId="21" applyNumberFormat="1" applyFont="1" applyAlignment="1"/>
    <xf numFmtId="37" fontId="77" fillId="0" borderId="0" xfId="21" applyFont="1" applyAlignment="1"/>
    <xf numFmtId="167" fontId="80" fillId="0" borderId="0" xfId="0" applyNumberFormat="1" applyFont="1" applyProtection="1"/>
    <xf numFmtId="0" fontId="66" fillId="0" borderId="0" xfId="0" applyFont="1" applyAlignment="1" applyProtection="1">
      <alignment horizontal="left"/>
    </xf>
    <xf numFmtId="203" fontId="66" fillId="0" borderId="0" xfId="5" applyNumberFormat="1" applyFont="1"/>
    <xf numFmtId="203" fontId="66" fillId="0" borderId="0" xfId="5" applyNumberFormat="1" applyFont="1" applyBorder="1" applyProtection="1"/>
    <xf numFmtId="0" fontId="66" fillId="0" borderId="0" xfId="0" applyFont="1" applyBorder="1" applyProtection="1"/>
    <xf numFmtId="41" fontId="82" fillId="0" borderId="0" xfId="0" applyNumberFormat="1" applyFont="1" applyBorder="1" applyProtection="1"/>
    <xf numFmtId="41" fontId="66" fillId="0" borderId="0" xfId="0" applyNumberFormat="1" applyFont="1" applyBorder="1" applyProtection="1"/>
    <xf numFmtId="206" fontId="66" fillId="0" borderId="0" xfId="3" applyNumberFormat="1" applyFont="1" applyBorder="1" applyProtection="1"/>
    <xf numFmtId="206" fontId="66" fillId="0" borderId="0" xfId="3" applyNumberFormat="1" applyFont="1" applyProtection="1"/>
    <xf numFmtId="1" fontId="66" fillId="0" borderId="0" xfId="0" applyNumberFormat="1" applyFont="1" applyBorder="1"/>
    <xf numFmtId="41" fontId="82" fillId="0" borderId="0" xfId="0" applyNumberFormat="1" applyFont="1" applyBorder="1"/>
    <xf numFmtId="37" fontId="66" fillId="0" borderId="0" xfId="0" applyNumberFormat="1" applyFont="1" applyBorder="1" applyProtection="1"/>
    <xf numFmtId="10" fontId="78" fillId="0" borderId="0" xfId="0" applyNumberFormat="1" applyFont="1" applyBorder="1"/>
    <xf numFmtId="41" fontId="66" fillId="0" borderId="0" xfId="0" applyNumberFormat="1" applyFont="1" applyBorder="1"/>
    <xf numFmtId="0" fontId="66" fillId="0" borderId="0" xfId="0" applyFont="1" applyBorder="1" applyAlignment="1" applyProtection="1">
      <alignment horizontal="left"/>
    </xf>
    <xf numFmtId="203" fontId="66" fillId="0" borderId="0" xfId="0" applyNumberFormat="1" applyFont="1" applyBorder="1" applyProtection="1"/>
    <xf numFmtId="206" fontId="66" fillId="0" borderId="0" xfId="3" applyNumberFormat="1" applyFont="1" applyBorder="1"/>
    <xf numFmtId="0" fontId="83" fillId="0" borderId="0" xfId="0" applyFont="1" applyBorder="1" applyProtection="1">
      <protection locked="0"/>
    </xf>
    <xf numFmtId="0" fontId="38" fillId="0" borderId="0" xfId="0" applyFont="1" applyBorder="1"/>
    <xf numFmtId="0" fontId="38" fillId="0" borderId="6" xfId="0" applyFont="1" applyBorder="1"/>
    <xf numFmtId="38" fontId="38" fillId="0" borderId="6" xfId="0" applyNumberFormat="1" applyFont="1" applyBorder="1"/>
    <xf numFmtId="0" fontId="87" fillId="0" borderId="7" xfId="0" applyFont="1" applyBorder="1" applyAlignment="1" applyProtection="1">
      <alignment horizontal="left"/>
    </xf>
    <xf numFmtId="171" fontId="88" fillId="0" borderId="0" xfId="23" applyNumberFormat="1" applyFont="1" applyBorder="1" applyAlignment="1">
      <alignment horizontal="center"/>
    </xf>
    <xf numFmtId="206" fontId="87" fillId="0" borderId="8" xfId="3" applyNumberFormat="1" applyFont="1" applyBorder="1"/>
    <xf numFmtId="0" fontId="87" fillId="0" borderId="7" xfId="0" applyFont="1" applyBorder="1"/>
    <xf numFmtId="0" fontId="89" fillId="0" borderId="7" xfId="0" applyFont="1" applyBorder="1"/>
    <xf numFmtId="0" fontId="87" fillId="0" borderId="0" xfId="0" applyFont="1"/>
    <xf numFmtId="0" fontId="94" fillId="0" borderId="0" xfId="0" applyFont="1"/>
    <xf numFmtId="0" fontId="87" fillId="0" borderId="0" xfId="0" applyFont="1" applyAlignment="1">
      <alignment horizontal="center"/>
    </xf>
    <xf numFmtId="171" fontId="87" fillId="0" borderId="0" xfId="0" applyNumberFormat="1" applyFont="1" applyBorder="1" applyAlignment="1" applyProtection="1">
      <alignment horizontal="center"/>
    </xf>
    <xf numFmtId="203" fontId="87" fillId="0" borderId="8" xfId="0" applyNumberFormat="1" applyFont="1" applyBorder="1" applyProtection="1"/>
    <xf numFmtId="0" fontId="87" fillId="0" borderId="0" xfId="0" applyFont="1" applyBorder="1"/>
    <xf numFmtId="0" fontId="94" fillId="0" borderId="7" xfId="0" applyFont="1" applyBorder="1" applyAlignment="1" applyProtection="1">
      <alignment horizontal="left"/>
    </xf>
    <xf numFmtId="3" fontId="88" fillId="0" borderId="0" xfId="0" applyNumberFormat="1" applyFont="1" applyBorder="1"/>
    <xf numFmtId="197" fontId="87" fillId="0" borderId="0" xfId="0" applyNumberFormat="1" applyFont="1" applyBorder="1" applyAlignment="1">
      <alignment horizontal="right"/>
    </xf>
    <xf numFmtId="6" fontId="87" fillId="0" borderId="0" xfId="0" applyNumberFormat="1" applyFont="1" applyBorder="1"/>
    <xf numFmtId="197" fontId="89" fillId="0" borderId="0" xfId="0" applyNumberFormat="1" applyFont="1" applyBorder="1"/>
    <xf numFmtId="6" fontId="89" fillId="0" borderId="0" xfId="0" applyNumberFormat="1" applyFont="1" applyBorder="1"/>
    <xf numFmtId="0" fontId="87" fillId="0" borderId="7" xfId="0" applyFont="1" applyBorder="1" applyAlignment="1" applyProtection="1"/>
    <xf numFmtId="0" fontId="87" fillId="0" borderId="0" xfId="0" applyFont="1" applyBorder="1" applyAlignment="1">
      <alignment horizontal="center"/>
    </xf>
    <xf numFmtId="0" fontId="87" fillId="0" borderId="8" xfId="0" applyFont="1" applyBorder="1" applyAlignment="1" applyProtection="1"/>
    <xf numFmtId="206" fontId="88" fillId="0" borderId="0" xfId="3" applyNumberFormat="1" applyFont="1" applyBorder="1" applyProtection="1">
      <protection locked="0"/>
    </xf>
    <xf numFmtId="0" fontId="99" fillId="0" borderId="7" xfId="0" applyFont="1" applyBorder="1" applyAlignment="1" applyProtection="1">
      <alignment horizontal="left"/>
    </xf>
    <xf numFmtId="0" fontId="94" fillId="0" borderId="0" xfId="0" applyFont="1" applyBorder="1"/>
    <xf numFmtId="0" fontId="87" fillId="0" borderId="7" xfId="0" applyFont="1" applyBorder="1" applyAlignment="1">
      <alignment horizontal="left"/>
    </xf>
    <xf numFmtId="206" fontId="88" fillId="0" borderId="0" xfId="3" applyNumberFormat="1" applyFont="1" applyBorder="1" applyAlignment="1">
      <alignment horizontal="right"/>
    </xf>
    <xf numFmtId="0" fontId="87" fillId="0" borderId="7" xfId="0" applyFont="1" applyBorder="1" applyAlignment="1">
      <alignment horizontal="center"/>
    </xf>
    <xf numFmtId="0" fontId="87" fillId="0" borderId="8" xfId="0" applyFont="1" applyBorder="1"/>
    <xf numFmtId="0" fontId="85" fillId="0" borderId="7" xfId="0" applyFont="1" applyBorder="1"/>
    <xf numFmtId="317" fontId="87" fillId="0" borderId="0" xfId="0" applyNumberFormat="1" applyFont="1" applyBorder="1"/>
    <xf numFmtId="38" fontId="87" fillId="0" borderId="8" xfId="0" applyNumberFormat="1" applyFont="1" applyBorder="1"/>
    <xf numFmtId="206" fontId="88" fillId="0" borderId="8" xfId="3" applyNumberFormat="1" applyFont="1" applyBorder="1" applyProtection="1">
      <protection locked="0"/>
    </xf>
    <xf numFmtId="0" fontId="95" fillId="0" borderId="7" xfId="0" applyFont="1" applyBorder="1" applyAlignment="1" applyProtection="1">
      <alignment horizontal="left"/>
    </xf>
    <xf numFmtId="206" fontId="101" fillId="0" borderId="8" xfId="3" applyNumberFormat="1" applyFont="1" applyBorder="1" applyProtection="1">
      <protection locked="0"/>
    </xf>
    <xf numFmtId="0" fontId="102" fillId="0" borderId="7" xfId="0" applyFont="1" applyBorder="1" applyAlignment="1" applyProtection="1">
      <alignment horizontal="left"/>
    </xf>
    <xf numFmtId="15" fontId="88" fillId="0" borderId="0" xfId="0" applyNumberFormat="1" applyFont="1" applyBorder="1" applyProtection="1">
      <protection locked="0"/>
    </xf>
    <xf numFmtId="9" fontId="87" fillId="0" borderId="8" xfId="23" applyFont="1" applyBorder="1"/>
    <xf numFmtId="0" fontId="87" fillId="0" borderId="9" xfId="0" applyFont="1" applyBorder="1"/>
    <xf numFmtId="0" fontId="87" fillId="0" borderId="4" xfId="0" applyFont="1" applyBorder="1" applyAlignment="1">
      <alignment horizontal="right"/>
    </xf>
    <xf numFmtId="0" fontId="99" fillId="0" borderId="9" xfId="0" applyFont="1" applyBorder="1" applyAlignment="1" applyProtection="1">
      <alignment horizontal="left"/>
    </xf>
    <xf numFmtId="0" fontId="94" fillId="0" borderId="4" xfId="0" applyFont="1" applyBorder="1"/>
    <xf numFmtId="10" fontId="88" fillId="0" borderId="4" xfId="23" applyNumberFormat="1" applyFont="1" applyBorder="1"/>
    <xf numFmtId="203" fontId="100" fillId="0" borderId="4" xfId="5" applyNumberFormat="1" applyFont="1" applyBorder="1" applyProtection="1">
      <protection locked="0"/>
    </xf>
    <xf numFmtId="0" fontId="87" fillId="0" borderId="4" xfId="0" applyFont="1" applyBorder="1"/>
    <xf numFmtId="38" fontId="87" fillId="0" borderId="10" xfId="0" applyNumberFormat="1" applyFont="1" applyBorder="1"/>
    <xf numFmtId="0" fontId="87" fillId="0" borderId="0" xfId="0" applyFont="1" applyAlignment="1" applyProtection="1">
      <alignment horizontal="left"/>
    </xf>
    <xf numFmtId="0" fontId="89" fillId="0" borderId="0" xfId="0" applyFont="1" applyAlignment="1" applyProtection="1">
      <alignment horizontal="center"/>
    </xf>
    <xf numFmtId="0" fontId="103" fillId="0" borderId="0" xfId="0" applyFont="1" applyAlignment="1" applyProtection="1">
      <alignment horizontal="center"/>
    </xf>
    <xf numFmtId="0" fontId="103" fillId="0" borderId="0" xfId="0" applyFont="1" applyAlignment="1">
      <alignment horizontal="centerContinuous"/>
    </xf>
    <xf numFmtId="0" fontId="94" fillId="0" borderId="0" xfId="0" applyFont="1" applyAlignment="1" applyProtection="1">
      <alignment horizontal="left"/>
    </xf>
    <xf numFmtId="203" fontId="87" fillId="0" borderId="0" xfId="5" applyNumberFormat="1" applyFont="1" applyProtection="1">
      <protection locked="0"/>
    </xf>
    <xf numFmtId="38" fontId="87" fillId="0" borderId="0" xfId="0" applyNumberFormat="1" applyFont="1"/>
    <xf numFmtId="37" fontId="87" fillId="0" borderId="7" xfId="21" applyFont="1" applyBorder="1" applyAlignment="1">
      <alignment horizontal="left"/>
    </xf>
    <xf numFmtId="0" fontId="88" fillId="0" borderId="8" xfId="0" applyFont="1" applyBorder="1"/>
    <xf numFmtId="0" fontId="96" fillId="0" borderId="7" xfId="0" applyFont="1" applyBorder="1" applyAlignment="1" applyProtection="1">
      <alignment horizontal="left"/>
    </xf>
    <xf numFmtId="37" fontId="87" fillId="0" borderId="8" xfId="0" applyNumberFormat="1" applyFont="1" applyBorder="1" applyProtection="1"/>
    <xf numFmtId="0" fontId="87" fillId="0" borderId="7" xfId="0" applyNumberFormat="1" applyFont="1" applyBorder="1"/>
    <xf numFmtId="0" fontId="87" fillId="0" borderId="0" xfId="0" applyNumberFormat="1" applyFont="1" applyBorder="1"/>
    <xf numFmtId="10" fontId="88" fillId="0" borderId="0" xfId="23" applyNumberFormat="1" applyFont="1" applyBorder="1" applyAlignment="1">
      <alignment horizontal="center"/>
    </xf>
    <xf numFmtId="218" fontId="83" fillId="0" borderId="8" xfId="3" applyNumberFormat="1" applyFont="1" applyBorder="1" applyAlignment="1">
      <alignment horizontal="right"/>
    </xf>
    <xf numFmtId="10" fontId="83" fillId="0" borderId="8" xfId="23" applyNumberFormat="1" applyFont="1" applyBorder="1" applyAlignment="1">
      <alignment horizontal="right"/>
    </xf>
    <xf numFmtId="10" fontId="88" fillId="0" borderId="0" xfId="23" applyNumberFormat="1" applyFont="1" applyBorder="1"/>
    <xf numFmtId="206" fontId="87" fillId="0" borderId="0" xfId="0" applyNumberFormat="1" applyFont="1" applyBorder="1" applyAlignment="1">
      <alignment horizontal="center"/>
    </xf>
    <xf numFmtId="10" fontId="83" fillId="0" borderId="10" xfId="23" applyNumberFormat="1" applyFont="1" applyBorder="1" applyAlignment="1">
      <alignment horizontal="right"/>
    </xf>
    <xf numFmtId="206" fontId="88" fillId="0" borderId="0" xfId="3" applyNumberFormat="1" applyFont="1" applyBorder="1"/>
    <xf numFmtId="0" fontId="88" fillId="0" borderId="8" xfId="0" applyFont="1" applyBorder="1" applyAlignment="1">
      <alignment horizontal="right"/>
    </xf>
    <xf numFmtId="0" fontId="94" fillId="0" borderId="0" xfId="0" applyFont="1" applyBorder="1" applyAlignment="1">
      <alignment horizontal="center"/>
    </xf>
    <xf numFmtId="0" fontId="97" fillId="0" borderId="0" xfId="0" applyFont="1" applyBorder="1" applyAlignment="1" applyProtection="1">
      <alignment horizontal="center"/>
    </xf>
    <xf numFmtId="0" fontId="97" fillId="0" borderId="8" xfId="0" applyFont="1" applyBorder="1" applyAlignment="1" applyProtection="1">
      <alignment horizontal="center"/>
    </xf>
    <xf numFmtId="203" fontId="87" fillId="0" borderId="0" xfId="5" applyNumberFormat="1" applyFont="1" applyFill="1" applyBorder="1" applyProtection="1"/>
    <xf numFmtId="203" fontId="87" fillId="0" borderId="0" xfId="5" applyNumberFormat="1" applyFont="1" applyBorder="1" applyProtection="1"/>
    <xf numFmtId="203" fontId="101" fillId="0" borderId="8" xfId="0" applyNumberFormat="1" applyFont="1" applyFill="1" applyBorder="1" applyAlignment="1">
      <alignment horizontal="right"/>
    </xf>
    <xf numFmtId="0" fontId="94" fillId="0" borderId="7" xfId="0" applyFont="1" applyBorder="1"/>
    <xf numFmtId="10" fontId="88" fillId="0" borderId="0" xfId="0" applyNumberFormat="1" applyFont="1" applyBorder="1"/>
    <xf numFmtId="0" fontId="88" fillId="0" borderId="0" xfId="0" applyFont="1" applyBorder="1" applyProtection="1"/>
    <xf numFmtId="0" fontId="88" fillId="0" borderId="0" xfId="0" applyFont="1" applyFill="1" applyBorder="1" applyProtection="1"/>
    <xf numFmtId="0" fontId="94" fillId="0" borderId="9" xfId="0" applyFont="1" applyBorder="1"/>
    <xf numFmtId="0" fontId="87" fillId="0" borderId="7" xfId="0" applyFont="1" applyFill="1" applyBorder="1" applyAlignment="1" applyProtection="1"/>
    <xf numFmtId="10" fontId="88" fillId="0" borderId="0" xfId="23" applyNumberFormat="1" applyFont="1" applyFill="1" applyBorder="1" applyProtection="1"/>
    <xf numFmtId="10" fontId="87" fillId="0" borderId="8" xfId="0" applyNumberFormat="1" applyFont="1" applyBorder="1"/>
    <xf numFmtId="10" fontId="88" fillId="0" borderId="0" xfId="23" applyNumberFormat="1" applyFont="1"/>
    <xf numFmtId="2" fontId="88" fillId="0" borderId="0" xfId="0" applyNumberFormat="1" applyFont="1" applyFill="1" applyBorder="1" applyProtection="1"/>
    <xf numFmtId="2" fontId="88" fillId="0" borderId="0" xfId="0" applyNumberFormat="1" applyFont="1" applyFill="1" applyBorder="1" applyAlignment="1" applyProtection="1">
      <alignment horizontal="right"/>
    </xf>
    <xf numFmtId="2" fontId="87" fillId="0" borderId="8" xfId="0" applyNumberFormat="1" applyFont="1" applyBorder="1"/>
    <xf numFmtId="9" fontId="88" fillId="0" borderId="0" xfId="23" applyFont="1" applyBorder="1"/>
    <xf numFmtId="189" fontId="87" fillId="0" borderId="8" xfId="0" applyNumberFormat="1" applyFont="1" applyBorder="1"/>
    <xf numFmtId="0" fontId="76" fillId="0" borderId="0" xfId="0" applyFont="1" applyBorder="1" applyAlignment="1">
      <alignment horizontal="center"/>
    </xf>
    <xf numFmtId="10" fontId="100" fillId="0" borderId="0" xfId="23" applyNumberFormat="1" applyFont="1" applyBorder="1" applyAlignment="1">
      <alignment horizontal="center"/>
    </xf>
    <xf numFmtId="0" fontId="87" fillId="0" borderId="9" xfId="0" applyFont="1" applyBorder="1" applyAlignment="1" applyProtection="1"/>
    <xf numFmtId="2" fontId="94" fillId="0" borderId="4" xfId="0" applyNumberFormat="1" applyFont="1" applyBorder="1" applyProtection="1"/>
    <xf numFmtId="2" fontId="94" fillId="0" borderId="4" xfId="0" applyNumberFormat="1" applyFont="1" applyBorder="1" applyAlignment="1" applyProtection="1">
      <alignment horizontal="right"/>
    </xf>
    <xf numFmtId="2" fontId="87" fillId="0" borderId="10" xfId="0" applyNumberFormat="1" applyFont="1" applyBorder="1"/>
    <xf numFmtId="43" fontId="87" fillId="0" borderId="0" xfId="0" applyNumberFormat="1" applyFont="1" applyBorder="1"/>
    <xf numFmtId="10" fontId="87" fillId="0" borderId="0" xfId="23" applyNumberFormat="1" applyFont="1" applyBorder="1"/>
    <xf numFmtId="5" fontId="87" fillId="0" borderId="0" xfId="0" applyNumberFormat="1" applyFont="1" applyProtection="1"/>
    <xf numFmtId="2" fontId="88" fillId="0" borderId="8" xfId="0" applyNumberFormat="1" applyFont="1" applyBorder="1" applyAlignment="1" applyProtection="1">
      <alignment horizontal="right"/>
    </xf>
    <xf numFmtId="206" fontId="87" fillId="0" borderId="8" xfId="3" applyNumberFormat="1" applyFont="1" applyBorder="1" applyAlignment="1" applyProtection="1">
      <alignment horizontal="right"/>
    </xf>
    <xf numFmtId="43" fontId="89" fillId="0" borderId="0" xfId="0" applyNumberFormat="1" applyFont="1" applyBorder="1"/>
    <xf numFmtId="171" fontId="87" fillId="0" borderId="0" xfId="0" applyNumberFormat="1" applyFont="1" applyBorder="1" applyAlignment="1">
      <alignment horizontal="center"/>
    </xf>
    <xf numFmtId="0" fontId="87" fillId="0" borderId="9" xfId="0" applyFont="1" applyBorder="1" applyAlignment="1" applyProtection="1">
      <alignment horizontal="left"/>
    </xf>
    <xf numFmtId="5" fontId="88" fillId="0" borderId="4" xfId="0" applyNumberFormat="1" applyFont="1" applyBorder="1"/>
    <xf numFmtId="171" fontId="88" fillId="0" borderId="10" xfId="0" applyNumberFormat="1" applyFont="1" applyBorder="1"/>
    <xf numFmtId="0" fontId="87" fillId="0" borderId="4" xfId="0" applyFont="1" applyBorder="1" applyAlignment="1">
      <alignment horizontal="center"/>
    </xf>
    <xf numFmtId="206" fontId="105" fillId="0" borderId="8" xfId="3" applyNumberFormat="1" applyFont="1" applyBorder="1"/>
    <xf numFmtId="0" fontId="100" fillId="0" borderId="7" xfId="0" applyFont="1" applyBorder="1"/>
    <xf numFmtId="0" fontId="90" fillId="0" borderId="0" xfId="0" applyFont="1" applyBorder="1" applyAlignment="1">
      <alignment horizontal="center"/>
    </xf>
    <xf numFmtId="206" fontId="104" fillId="0" borderId="8" xfId="3" applyNumberFormat="1" applyFont="1" applyBorder="1"/>
    <xf numFmtId="171" fontId="88" fillId="0" borderId="8" xfId="0" applyNumberFormat="1" applyFont="1" applyBorder="1"/>
    <xf numFmtId="206" fontId="88" fillId="0" borderId="10" xfId="0" applyNumberFormat="1" applyFont="1" applyBorder="1"/>
    <xf numFmtId="206" fontId="88" fillId="0" borderId="0" xfId="0" applyNumberFormat="1" applyFont="1" applyBorder="1"/>
    <xf numFmtId="171" fontId="88" fillId="0" borderId="0" xfId="23" applyNumberFormat="1" applyFont="1" applyBorder="1" applyAlignment="1" applyProtection="1">
      <alignment horizontal="center"/>
      <protection locked="0"/>
    </xf>
    <xf numFmtId="0" fontId="94" fillId="0" borderId="0" xfId="0" quotePrefix="1" applyFont="1"/>
    <xf numFmtId="171" fontId="88" fillId="0" borderId="0" xfId="23" applyNumberFormat="1" applyFont="1"/>
    <xf numFmtId="0" fontId="100" fillId="0" borderId="0" xfId="0" applyFont="1" applyBorder="1" applyAlignment="1" applyProtection="1">
      <alignment horizontal="center"/>
    </xf>
    <xf numFmtId="0" fontId="100" fillId="0" borderId="8" xfId="0" applyFont="1" applyBorder="1" applyAlignment="1" applyProtection="1">
      <alignment horizontal="center"/>
    </xf>
    <xf numFmtId="0" fontId="97" fillId="0" borderId="7" xfId="0" applyFont="1" applyBorder="1" applyAlignment="1" applyProtection="1">
      <alignment horizontal="center"/>
    </xf>
    <xf numFmtId="0" fontId="89" fillId="0" borderId="0" xfId="0" applyFont="1" applyBorder="1"/>
    <xf numFmtId="0" fontId="87" fillId="0" borderId="7" xfId="0" applyFont="1" applyBorder="1" applyAlignment="1" applyProtection="1">
      <alignment horizontal="center"/>
    </xf>
    <xf numFmtId="10" fontId="87" fillId="0" borderId="0" xfId="0" applyNumberFormat="1" applyFont="1" applyBorder="1" applyAlignment="1" applyProtection="1">
      <alignment horizontal="center"/>
    </xf>
    <xf numFmtId="10" fontId="87" fillId="0" borderId="8" xfId="0" applyNumberFormat="1" applyFont="1" applyBorder="1" applyAlignment="1" applyProtection="1">
      <alignment horizontal="center"/>
    </xf>
    <xf numFmtId="0" fontId="94" fillId="0" borderId="4" xfId="0" applyFont="1" applyBorder="1" applyAlignment="1">
      <alignment horizontal="center"/>
    </xf>
    <xf numFmtId="203" fontId="88" fillId="0" borderId="0" xfId="0" applyNumberFormat="1" applyFont="1" applyAlignment="1">
      <alignment horizontal="right"/>
    </xf>
    <xf numFmtId="0" fontId="87" fillId="0" borderId="0" xfId="0" applyFont="1" applyBorder="1" applyAlignment="1" applyProtection="1">
      <alignment horizontal="center"/>
    </xf>
    <xf numFmtId="0" fontId="87" fillId="0" borderId="8" xfId="0" applyFont="1" applyBorder="1" applyAlignment="1" applyProtection="1">
      <alignment horizontal="center"/>
    </xf>
    <xf numFmtId="174" fontId="88" fillId="0" borderId="0" xfId="0" applyNumberFormat="1" applyFont="1" applyProtection="1">
      <protection locked="0"/>
    </xf>
    <xf numFmtId="275" fontId="88" fillId="0" borderId="8" xfId="0" applyNumberFormat="1" applyFont="1" applyBorder="1" applyAlignment="1">
      <alignment horizontal="right"/>
    </xf>
    <xf numFmtId="5" fontId="87" fillId="0" borderId="0" xfId="23" applyNumberFormat="1" applyFont="1" applyBorder="1" applyAlignment="1" applyProtection="1">
      <alignment horizontal="center"/>
    </xf>
    <xf numFmtId="5" fontId="87" fillId="0" borderId="8" xfId="23" applyNumberFormat="1" applyFont="1" applyBorder="1" applyAlignment="1" applyProtection="1">
      <alignment horizontal="center"/>
    </xf>
    <xf numFmtId="0" fontId="66" fillId="0" borderId="7" xfId="0" applyFont="1" applyBorder="1" applyAlignment="1" applyProtection="1">
      <alignment horizontal="left"/>
    </xf>
    <xf numFmtId="0" fontId="87" fillId="0" borderId="9" xfId="0" applyFont="1" applyBorder="1" applyAlignment="1" applyProtection="1">
      <alignment horizontal="center"/>
    </xf>
    <xf numFmtId="5" fontId="87" fillId="0" borderId="4" xfId="23" applyNumberFormat="1" applyFont="1" applyBorder="1" applyAlignment="1" applyProtection="1">
      <alignment horizontal="center"/>
    </xf>
    <xf numFmtId="5" fontId="87" fillId="0" borderId="10" xfId="23" applyNumberFormat="1" applyFont="1" applyBorder="1" applyAlignment="1" applyProtection="1">
      <alignment horizontal="center"/>
    </xf>
    <xf numFmtId="10" fontId="88" fillId="0" borderId="8" xfId="23" applyNumberFormat="1" applyFont="1" applyBorder="1" applyAlignment="1">
      <alignment horizontal="right"/>
    </xf>
    <xf numFmtId="0" fontId="87" fillId="0" borderId="0" xfId="0" applyFont="1" applyAlignment="1" applyProtection="1">
      <alignment horizontal="center"/>
    </xf>
    <xf numFmtId="5" fontId="87" fillId="0" borderId="0" xfId="23" applyNumberFormat="1" applyFont="1" applyAlignment="1" applyProtection="1">
      <alignment horizontal="center"/>
    </xf>
    <xf numFmtId="174" fontId="88" fillId="0" borderId="8" xfId="0" applyNumberFormat="1" applyFont="1" applyBorder="1" applyProtection="1">
      <protection locked="0"/>
    </xf>
    <xf numFmtId="2" fontId="87" fillId="0" borderId="9" xfId="21" applyNumberFormat="1" applyFont="1" applyBorder="1" applyAlignment="1">
      <alignment horizontal="left"/>
    </xf>
    <xf numFmtId="2" fontId="87" fillId="0" borderId="4" xfId="0" applyNumberFormat="1" applyFont="1" applyBorder="1"/>
    <xf numFmtId="1" fontId="88" fillId="0" borderId="4" xfId="0" applyNumberFormat="1" applyFont="1" applyBorder="1" applyAlignment="1">
      <alignment horizontal="center"/>
    </xf>
    <xf numFmtId="275" fontId="88" fillId="0" borderId="8" xfId="0" applyNumberFormat="1" applyFont="1" applyBorder="1"/>
    <xf numFmtId="1" fontId="83" fillId="0" borderId="8" xfId="3" applyNumberFormat="1" applyFont="1" applyBorder="1" applyAlignment="1">
      <alignment horizontal="right"/>
    </xf>
    <xf numFmtId="9" fontId="88" fillId="0" borderId="8" xfId="23" applyFont="1" applyBorder="1"/>
    <xf numFmtId="2" fontId="87" fillId="0" borderId="0" xfId="0" applyNumberFormat="1" applyFont="1"/>
    <xf numFmtId="0" fontId="87" fillId="0" borderId="8" xfId="0" applyFont="1" applyBorder="1" applyAlignment="1">
      <alignment horizontal="right"/>
    </xf>
    <xf numFmtId="2" fontId="83" fillId="0" borderId="0" xfId="4" applyNumberFormat="1" applyFont="1" applyFill="1" applyBorder="1" applyAlignment="1">
      <alignment horizontal="right"/>
    </xf>
    <xf numFmtId="0" fontId="88" fillId="0" borderId="10" xfId="0" applyFont="1" applyBorder="1" applyAlignment="1">
      <alignment horizontal="right"/>
    </xf>
    <xf numFmtId="2" fontId="83" fillId="0" borderId="0" xfId="23" applyNumberFormat="1" applyFont="1" applyFill="1" applyBorder="1" applyAlignment="1">
      <alignment horizontal="right"/>
    </xf>
    <xf numFmtId="37" fontId="87" fillId="0" borderId="0" xfId="0" applyNumberFormat="1" applyFont="1"/>
    <xf numFmtId="0" fontId="87" fillId="0" borderId="10" xfId="0" applyFont="1" applyBorder="1"/>
    <xf numFmtId="0" fontId="79" fillId="0" borderId="11" xfId="0" applyFont="1" applyBorder="1"/>
    <xf numFmtId="0" fontId="87" fillId="0" borderId="12" xfId="0" applyFont="1" applyBorder="1"/>
    <xf numFmtId="0" fontId="87" fillId="0" borderId="13" xfId="0" applyFont="1" applyBorder="1"/>
    <xf numFmtId="0" fontId="88" fillId="0" borderId="0" xfId="0" applyFont="1" applyProtection="1"/>
    <xf numFmtId="0" fontId="87" fillId="0" borderId="14" xfId="0" applyFont="1" applyBorder="1"/>
    <xf numFmtId="0" fontId="87" fillId="0" borderId="15" xfId="0" applyFont="1" applyBorder="1"/>
    <xf numFmtId="0" fontId="88" fillId="0" borderId="0" xfId="0" applyFont="1" applyProtection="1">
      <protection locked="0"/>
    </xf>
    <xf numFmtId="0" fontId="87" fillId="10" borderId="0" xfId="0" applyFont="1" applyFill="1"/>
    <xf numFmtId="0" fontId="107" fillId="11" borderId="0" xfId="0" applyFont="1" applyFill="1" applyAlignment="1">
      <alignment vertical="top" wrapText="1"/>
    </xf>
    <xf numFmtId="203" fontId="87" fillId="0" borderId="0" xfId="0" applyNumberFormat="1" applyFont="1" applyBorder="1"/>
    <xf numFmtId="275" fontId="87" fillId="12" borderId="0" xfId="0" applyNumberFormat="1" applyFont="1" applyFill="1" applyAlignment="1">
      <alignment horizontal="right"/>
    </xf>
    <xf numFmtId="0" fontId="66" fillId="0" borderId="0" xfId="0" applyFont="1" applyAlignment="1">
      <alignment vertical="top" wrapText="1"/>
    </xf>
    <xf numFmtId="203" fontId="87" fillId="0" borderId="16" xfId="0" applyNumberFormat="1" applyFont="1" applyBorder="1"/>
    <xf numFmtId="0" fontId="87" fillId="13" borderId="0" xfId="0" applyFont="1" applyFill="1"/>
    <xf numFmtId="0" fontId="87" fillId="0" borderId="17" xfId="0" applyFont="1" applyBorder="1" applyAlignment="1" applyProtection="1">
      <alignment horizontal="left"/>
    </xf>
    <xf numFmtId="206" fontId="87" fillId="0" borderId="16" xfId="0" applyNumberFormat="1" applyFont="1" applyBorder="1"/>
    <xf numFmtId="0" fontId="87" fillId="0" borderId="16" xfId="0" applyFont="1" applyBorder="1"/>
    <xf numFmtId="0" fontId="87" fillId="0" borderId="18" xfId="0" applyFont="1" applyBorder="1"/>
    <xf numFmtId="0" fontId="87" fillId="8" borderId="0" xfId="0" applyFont="1" applyFill="1"/>
    <xf numFmtId="203" fontId="87" fillId="0" borderId="0" xfId="0" applyNumberFormat="1" applyFont="1"/>
    <xf numFmtId="0" fontId="87" fillId="14" borderId="0" xfId="0" applyFont="1" applyFill="1"/>
    <xf numFmtId="0" fontId="79" fillId="0" borderId="19" xfId="0" applyFont="1" applyBorder="1" applyAlignment="1" applyProtection="1">
      <alignment horizontal="center"/>
    </xf>
    <xf numFmtId="0" fontId="79" fillId="0" borderId="13" xfId="0" applyFont="1" applyBorder="1" applyAlignment="1" applyProtection="1">
      <alignment horizontal="center"/>
    </xf>
    <xf numFmtId="203" fontId="79" fillId="0" borderId="19" xfId="0" applyNumberFormat="1" applyFont="1" applyBorder="1" applyAlignment="1">
      <alignment horizontal="center"/>
    </xf>
    <xf numFmtId="203" fontId="79" fillId="0" borderId="13" xfId="0" applyNumberFormat="1" applyFont="1" applyBorder="1" applyAlignment="1">
      <alignment horizontal="center"/>
    </xf>
    <xf numFmtId="206" fontId="79" fillId="0" borderId="12" xfId="3" applyNumberFormat="1" applyFont="1" applyBorder="1" applyAlignment="1">
      <alignment horizontal="center"/>
    </xf>
    <xf numFmtId="206" fontId="79" fillId="0" borderId="13" xfId="3" applyNumberFormat="1" applyFont="1" applyBorder="1" applyAlignment="1">
      <alignment horizontal="center"/>
    </xf>
    <xf numFmtId="43" fontId="38" fillId="0" borderId="11" xfId="5" applyNumberFormat="1" applyFont="1" applyBorder="1" applyAlignment="1" applyProtection="1">
      <alignment horizontal="center"/>
    </xf>
    <xf numFmtId="203" fontId="38" fillId="0" borderId="11" xfId="5" applyNumberFormat="1" applyFont="1" applyBorder="1" applyAlignment="1">
      <alignment horizontal="center"/>
    </xf>
    <xf numFmtId="0" fontId="87" fillId="0" borderId="0" xfId="0" applyFont="1" applyAlignment="1">
      <alignment horizontal="right"/>
    </xf>
    <xf numFmtId="0" fontId="87" fillId="0" borderId="0" xfId="0" applyFont="1" applyAlignment="1" applyProtection="1"/>
    <xf numFmtId="0" fontId="89" fillId="0" borderId="0" xfId="0" applyFont="1"/>
    <xf numFmtId="197" fontId="88" fillId="0" borderId="0" xfId="0" applyNumberFormat="1" applyFont="1" applyBorder="1" applyAlignment="1">
      <alignment horizontal="right"/>
    </xf>
    <xf numFmtId="0" fontId="89" fillId="0" borderId="0" xfId="0" applyFont="1" applyBorder="1" applyAlignment="1">
      <alignment horizontal="center"/>
    </xf>
    <xf numFmtId="38" fontId="87" fillId="0" borderId="0" xfId="0" applyNumberFormat="1" applyFont="1" applyBorder="1" applyAlignment="1">
      <alignment horizontal="right"/>
    </xf>
    <xf numFmtId="317" fontId="100" fillId="0" borderId="4" xfId="0" applyNumberFormat="1" applyFont="1" applyBorder="1"/>
    <xf numFmtId="6" fontId="100" fillId="0" borderId="4" xfId="0" applyNumberFormat="1" applyFont="1" applyBorder="1"/>
    <xf numFmtId="206" fontId="88" fillId="15" borderId="8" xfId="3" applyNumberFormat="1" applyFont="1" applyFill="1" applyBorder="1"/>
    <xf numFmtId="206" fontId="104" fillId="15" borderId="8" xfId="3" applyNumberFormat="1" applyFont="1" applyFill="1" applyBorder="1" applyProtection="1"/>
    <xf numFmtId="0" fontId="87" fillId="15" borderId="8" xfId="0" applyFont="1" applyFill="1" applyBorder="1"/>
    <xf numFmtId="9" fontId="47" fillId="0" borderId="0" xfId="0" applyNumberFormat="1" applyFont="1"/>
    <xf numFmtId="0" fontId="109" fillId="0" borderId="0" xfId="0" applyFont="1"/>
    <xf numFmtId="0" fontId="110" fillId="0" borderId="0" xfId="0" applyFont="1" applyAlignment="1">
      <alignment vertical="top" wrapText="1"/>
    </xf>
    <xf numFmtId="0" fontId="77" fillId="0" borderId="0" xfId="0" applyFont="1" applyAlignment="1">
      <alignment vertical="top" wrapText="1"/>
    </xf>
    <xf numFmtId="0" fontId="111" fillId="0" borderId="0" xfId="0" applyFont="1" applyAlignment="1">
      <alignment vertical="top" wrapText="1"/>
    </xf>
    <xf numFmtId="0" fontId="112" fillId="0" borderId="20" xfId="0" applyFont="1" applyBorder="1"/>
    <xf numFmtId="5" fontId="113" fillId="0" borderId="21" xfId="0" applyNumberFormat="1" applyFont="1" applyBorder="1"/>
    <xf numFmtId="0" fontId="114" fillId="0" borderId="0" xfId="0" applyFont="1"/>
    <xf numFmtId="0" fontId="112" fillId="0" borderId="9" xfId="0" applyFont="1" applyBorder="1"/>
    <xf numFmtId="5" fontId="113" fillId="0" borderId="10" xfId="0" applyNumberFormat="1" applyFont="1" applyBorder="1"/>
    <xf numFmtId="0" fontId="112" fillId="0" borderId="0" xfId="0" applyFont="1" applyBorder="1"/>
    <xf numFmtId="0" fontId="112" fillId="0" borderId="0" xfId="0" applyFont="1"/>
    <xf numFmtId="14" fontId="77" fillId="0" borderId="0" xfId="0" applyNumberFormat="1" applyFont="1"/>
    <xf numFmtId="38" fontId="66" fillId="0" borderId="0" xfId="5" applyNumberFormat="1" applyFont="1" applyBorder="1" applyProtection="1"/>
    <xf numFmtId="0" fontId="77" fillId="0" borderId="0" xfId="0" applyFont="1" applyBorder="1"/>
    <xf numFmtId="206" fontId="84" fillId="0" borderId="0" xfId="0" applyNumberFormat="1" applyFont="1" applyBorder="1" applyProtection="1"/>
    <xf numFmtId="0" fontId="92" fillId="0" borderId="7" xfId="0" applyFont="1" applyBorder="1" applyAlignment="1" applyProtection="1">
      <alignment horizontal="left"/>
    </xf>
    <xf numFmtId="5" fontId="87" fillId="0" borderId="8" xfId="0" applyNumberFormat="1" applyFont="1" applyBorder="1" applyProtection="1"/>
    <xf numFmtId="0" fontId="92" fillId="4" borderId="20" xfId="0" applyFont="1" applyFill="1" applyBorder="1" applyAlignment="1" applyProtection="1">
      <alignment horizontal="left"/>
    </xf>
    <xf numFmtId="0" fontId="87" fillId="4" borderId="22" xfId="0" applyFont="1" applyFill="1" applyBorder="1"/>
    <xf numFmtId="0" fontId="87" fillId="4" borderId="21" xfId="0" applyFont="1" applyFill="1" applyBorder="1"/>
    <xf numFmtId="9" fontId="93" fillId="0" borderId="8" xfId="23" applyFont="1" applyBorder="1"/>
    <xf numFmtId="5" fontId="87" fillId="0" borderId="4" xfId="5" applyNumberFormat="1" applyFont="1" applyBorder="1" applyAlignment="1">
      <alignment horizontal="center"/>
    </xf>
    <xf numFmtId="5" fontId="87" fillId="0" borderId="10" xfId="5" applyNumberFormat="1" applyFont="1" applyBorder="1" applyAlignment="1">
      <alignment horizontal="center"/>
    </xf>
    <xf numFmtId="0" fontId="88" fillId="4" borderId="21" xfId="0" applyFont="1" applyFill="1" applyBorder="1" applyProtection="1"/>
    <xf numFmtId="9" fontId="93" fillId="4" borderId="21" xfId="23" applyFont="1" applyFill="1" applyBorder="1"/>
    <xf numFmtId="166" fontId="87" fillId="4" borderId="22" xfId="0" applyNumberFormat="1" applyFont="1" applyFill="1" applyBorder="1" applyProtection="1"/>
    <xf numFmtId="2" fontId="88" fillId="4" borderId="21" xfId="0" applyNumberFormat="1" applyFont="1" applyFill="1" applyBorder="1" applyProtection="1"/>
    <xf numFmtId="9" fontId="106" fillId="0" borderId="8" xfId="23" applyFont="1" applyBorder="1" applyAlignment="1">
      <alignment horizontal="center"/>
    </xf>
    <xf numFmtId="0" fontId="92" fillId="4" borderId="20" xfId="0" applyFont="1" applyFill="1" applyBorder="1"/>
    <xf numFmtId="0" fontId="79" fillId="4" borderId="20" xfId="0" applyFont="1" applyFill="1" applyBorder="1"/>
    <xf numFmtId="0" fontId="94" fillId="4" borderId="22" xfId="0" applyFont="1" applyFill="1" applyBorder="1"/>
    <xf numFmtId="0" fontId="87" fillId="4" borderId="21" xfId="0" applyFont="1" applyFill="1" applyBorder="1" applyAlignment="1">
      <alignment horizontal="center"/>
    </xf>
    <xf numFmtId="203" fontId="88" fillId="4" borderId="22" xfId="5" applyNumberFormat="1" applyFont="1" applyFill="1" applyBorder="1" applyProtection="1">
      <protection locked="0"/>
    </xf>
    <xf numFmtId="317" fontId="87" fillId="4" borderId="22" xfId="0" applyNumberFormat="1" applyFont="1" applyFill="1" applyBorder="1"/>
    <xf numFmtId="38" fontId="87" fillId="4" borderId="21" xfId="0" applyNumberFormat="1" applyFont="1" applyFill="1" applyBorder="1"/>
    <xf numFmtId="0" fontId="115" fillId="4" borderId="20" xfId="0" applyFont="1" applyFill="1" applyBorder="1"/>
    <xf numFmtId="0" fontId="38" fillId="4" borderId="22" xfId="0" applyFont="1" applyFill="1" applyBorder="1"/>
    <xf numFmtId="10" fontId="88" fillId="4" borderId="22" xfId="23" applyNumberFormat="1" applyFont="1" applyFill="1" applyBorder="1"/>
    <xf numFmtId="10" fontId="88" fillId="0" borderId="0" xfId="0" applyNumberFormat="1" applyFont="1" applyBorder="1" applyProtection="1">
      <protection locked="0"/>
    </xf>
    <xf numFmtId="10" fontId="94" fillId="0" borderId="0" xfId="20" applyNumberFormat="1" applyFont="1" applyBorder="1" applyProtection="1">
      <protection locked="0"/>
    </xf>
    <xf numFmtId="10" fontId="88" fillId="15" borderId="4" xfId="0" applyNumberFormat="1" applyFont="1" applyFill="1" applyBorder="1" applyProtection="1">
      <protection locked="0"/>
    </xf>
    <xf numFmtId="2" fontId="87" fillId="0" borderId="0" xfId="0" applyNumberFormat="1" applyFont="1" applyBorder="1"/>
    <xf numFmtId="10" fontId="88" fillId="14" borderId="0" xfId="0" quotePrefix="1" applyNumberFormat="1" applyFont="1" applyFill="1" applyBorder="1" applyAlignment="1" applyProtection="1">
      <alignment horizontal="right"/>
      <protection locked="0"/>
    </xf>
    <xf numFmtId="10" fontId="88" fillId="14" borderId="0" xfId="0" applyNumberFormat="1" applyFont="1" applyFill="1" applyBorder="1" applyProtection="1">
      <protection locked="0"/>
    </xf>
    <xf numFmtId="203" fontId="77" fillId="0" borderId="0" xfId="5" applyNumberFormat="1" applyFont="1" applyBorder="1" applyProtection="1"/>
    <xf numFmtId="41" fontId="77" fillId="0" borderId="0" xfId="0" applyNumberFormat="1" applyFont="1" applyBorder="1"/>
    <xf numFmtId="0" fontId="77" fillId="0" borderId="23" xfId="0" applyFont="1" applyBorder="1"/>
    <xf numFmtId="206" fontId="77" fillId="0" borderId="0" xfId="3" applyNumberFormat="1" applyFont="1" applyBorder="1" applyProtection="1"/>
    <xf numFmtId="41" fontId="117" fillId="0" borderId="0" xfId="0" applyNumberFormat="1" applyFont="1" applyBorder="1" applyProtection="1"/>
    <xf numFmtId="37" fontId="77" fillId="0" borderId="6" xfId="21" applyFont="1" applyBorder="1" applyAlignment="1"/>
    <xf numFmtId="0" fontId="77" fillId="0" borderId="6" xfId="0" applyFont="1" applyBorder="1"/>
    <xf numFmtId="206" fontId="77" fillId="0" borderId="6" xfId="3" quotePrefix="1" applyNumberFormat="1" applyFont="1" applyBorder="1" applyProtection="1"/>
    <xf numFmtId="206" fontId="77" fillId="0" borderId="24" xfId="3" quotePrefix="1" applyNumberFormat="1" applyFont="1" applyBorder="1" applyProtection="1"/>
    <xf numFmtId="10" fontId="88" fillId="14" borderId="0" xfId="23" applyNumberFormat="1" applyFont="1" applyFill="1" applyBorder="1" applyAlignment="1" applyProtection="1">
      <alignment horizontal="center"/>
      <protection locked="0"/>
    </xf>
    <xf numFmtId="0" fontId="77" fillId="0" borderId="3" xfId="0" applyFont="1" applyBorder="1" applyAlignment="1">
      <alignment horizontal="center"/>
    </xf>
    <xf numFmtId="38" fontId="66" fillId="0" borderId="3" xfId="0" applyNumberFormat="1" applyFont="1" applyBorder="1"/>
    <xf numFmtId="0" fontId="114" fillId="0" borderId="20" xfId="0" applyFont="1" applyBorder="1"/>
    <xf numFmtId="0" fontId="114" fillId="0" borderId="22" xfId="0" applyFont="1" applyBorder="1"/>
    <xf numFmtId="0" fontId="114" fillId="0" borderId="21" xfId="0" applyFont="1" applyBorder="1"/>
    <xf numFmtId="38" fontId="66" fillId="0" borderId="7" xfId="0" applyNumberFormat="1" applyFont="1" applyBorder="1"/>
    <xf numFmtId="38" fontId="66" fillId="0" borderId="0" xfId="0" applyNumberFormat="1" applyFont="1" applyBorder="1"/>
    <xf numFmtId="38" fontId="66" fillId="0" borderId="8" xfId="0" applyNumberFormat="1" applyFont="1" applyBorder="1"/>
    <xf numFmtId="38" fontId="66" fillId="0" borderId="9" xfId="0" applyNumberFormat="1" applyFont="1" applyBorder="1"/>
    <xf numFmtId="38" fontId="66" fillId="0" borderId="4" xfId="0" applyNumberFormat="1" applyFont="1" applyBorder="1"/>
    <xf numFmtId="38" fontId="66" fillId="0" borderId="10" xfId="0" applyNumberFormat="1" applyFont="1" applyBorder="1"/>
    <xf numFmtId="206" fontId="118" fillId="14" borderId="8" xfId="3" applyNumberFormat="1" applyFont="1" applyFill="1" applyBorder="1"/>
    <xf numFmtId="206" fontId="106" fillId="14" borderId="8" xfId="3" applyNumberFormat="1" applyFont="1" applyFill="1" applyBorder="1"/>
    <xf numFmtId="206" fontId="106" fillId="14" borderId="8" xfId="3" applyNumberFormat="1" applyFont="1" applyFill="1" applyBorder="1" applyProtection="1"/>
    <xf numFmtId="206" fontId="106" fillId="8" borderId="8" xfId="3" applyNumberFormat="1" applyFont="1" applyFill="1" applyBorder="1" applyProtection="1"/>
    <xf numFmtId="38" fontId="106" fillId="14" borderId="8" xfId="5" applyNumberFormat="1" applyFont="1" applyFill="1" applyBorder="1" applyProtection="1"/>
    <xf numFmtId="0" fontId="119" fillId="16" borderId="20" xfId="0" applyFont="1" applyFill="1" applyBorder="1"/>
    <xf numFmtId="0" fontId="119" fillId="16" borderId="22" xfId="0" applyFont="1" applyFill="1" applyBorder="1"/>
    <xf numFmtId="0" fontId="120" fillId="16" borderId="22" xfId="0" applyFont="1" applyFill="1" applyBorder="1"/>
    <xf numFmtId="0" fontId="119" fillId="16" borderId="21" xfId="0" applyFont="1" applyFill="1" applyBorder="1"/>
    <xf numFmtId="38" fontId="121" fillId="16" borderId="3" xfId="0" applyNumberFormat="1" applyFont="1" applyFill="1" applyBorder="1" applyAlignment="1">
      <alignment horizontal="center"/>
    </xf>
    <xf numFmtId="0" fontId="119" fillId="16" borderId="0" xfId="0" applyFont="1" applyFill="1" applyBorder="1"/>
    <xf numFmtId="0" fontId="119" fillId="16" borderId="8" xfId="0" applyFont="1" applyFill="1" applyBorder="1"/>
    <xf numFmtId="0" fontId="119" fillId="16" borderId="7" xfId="0" applyFont="1" applyFill="1" applyBorder="1"/>
    <xf numFmtId="38" fontId="119" fillId="16" borderId="0" xfId="0" applyNumberFormat="1" applyFont="1" applyFill="1" applyBorder="1"/>
    <xf numFmtId="38" fontId="119" fillId="16" borderId="8" xfId="0" applyNumberFormat="1" applyFont="1" applyFill="1" applyBorder="1"/>
    <xf numFmtId="0" fontId="119" fillId="16" borderId="9" xfId="0" applyFont="1" applyFill="1" applyBorder="1"/>
    <xf numFmtId="0" fontId="119" fillId="16" borderId="4" xfId="0" applyFont="1" applyFill="1" applyBorder="1"/>
    <xf numFmtId="38" fontId="119" fillId="16" borderId="4" xfId="0" applyNumberFormat="1" applyFont="1" applyFill="1" applyBorder="1"/>
    <xf numFmtId="38" fontId="119" fillId="16" borderId="10" xfId="0" applyNumberFormat="1" applyFont="1" applyFill="1" applyBorder="1"/>
    <xf numFmtId="0" fontId="122" fillId="0" borderId="0" xfId="0" applyFont="1"/>
    <xf numFmtId="0" fontId="108" fillId="0" borderId="7" xfId="0" applyFont="1" applyBorder="1" applyAlignment="1" applyProtection="1">
      <alignment horizontal="left"/>
    </xf>
    <xf numFmtId="9" fontId="66" fillId="0" borderId="0" xfId="23" applyFont="1"/>
    <xf numFmtId="9" fontId="66" fillId="0" borderId="0" xfId="23" applyFont="1" applyFill="1"/>
    <xf numFmtId="0" fontId="76" fillId="0" borderId="0" xfId="0" applyFont="1" applyFill="1" applyBorder="1"/>
    <xf numFmtId="0" fontId="38" fillId="0" borderId="0" xfId="0" applyFont="1" applyFill="1" applyBorder="1"/>
    <xf numFmtId="9" fontId="66" fillId="0" borderId="0" xfId="23" applyFont="1" applyFill="1" applyBorder="1"/>
    <xf numFmtId="5" fontId="38" fillId="0" borderId="20" xfId="0" applyNumberFormat="1" applyFont="1" applyBorder="1"/>
    <xf numFmtId="0" fontId="38" fillId="0" borderId="22" xfId="0" applyFont="1" applyBorder="1"/>
    <xf numFmtId="37" fontId="66" fillId="0" borderId="22" xfId="21" applyFont="1" applyBorder="1" applyAlignment="1"/>
    <xf numFmtId="37" fontId="66" fillId="0" borderId="21" xfId="21" applyFont="1" applyBorder="1" applyAlignment="1"/>
    <xf numFmtId="172" fontId="77" fillId="0" borderId="7" xfId="21" applyNumberFormat="1" applyFont="1" applyBorder="1" applyAlignment="1"/>
    <xf numFmtId="37" fontId="66" fillId="0" borderId="0" xfId="21" applyFont="1" applyBorder="1" applyAlignment="1"/>
    <xf numFmtId="172" fontId="66" fillId="0" borderId="0" xfId="21" applyNumberFormat="1" applyFont="1" applyBorder="1" applyAlignment="1"/>
    <xf numFmtId="172" fontId="66" fillId="0" borderId="8" xfId="21" applyNumberFormat="1" applyFont="1" applyBorder="1" applyAlignment="1"/>
    <xf numFmtId="172" fontId="77" fillId="0" borderId="9" xfId="21" applyNumberFormat="1" applyFont="1" applyBorder="1" applyAlignment="1"/>
    <xf numFmtId="37" fontId="66" fillId="0" borderId="4" xfId="21" applyFont="1" applyFill="1" applyBorder="1" applyAlignment="1"/>
    <xf numFmtId="172" fontId="66" fillId="0" borderId="4" xfId="21" applyNumberFormat="1" applyFont="1" applyBorder="1" applyAlignment="1"/>
    <xf numFmtId="172" fontId="66" fillId="0" borderId="10" xfId="21" applyNumberFormat="1" applyFont="1" applyBorder="1" applyAlignment="1"/>
    <xf numFmtId="37" fontId="66" fillId="0" borderId="0" xfId="21" applyFont="1" applyFill="1" applyAlignment="1"/>
    <xf numFmtId="172" fontId="66" fillId="0" borderId="0" xfId="21" applyNumberFormat="1" applyFont="1" applyAlignment="1"/>
    <xf numFmtId="37" fontId="77" fillId="0" borderId="20" xfId="21" applyFont="1" applyBorder="1" applyAlignment="1">
      <alignment horizontal="left"/>
    </xf>
    <xf numFmtId="37" fontId="66" fillId="0" borderId="22" xfId="21" applyFont="1" applyFill="1" applyBorder="1" applyAlignment="1"/>
    <xf numFmtId="205" fontId="83" fillId="0" borderId="22" xfId="3" applyNumberFormat="1" applyFont="1" applyFill="1" applyBorder="1"/>
    <xf numFmtId="205" fontId="83" fillId="0" borderId="21" xfId="3" applyNumberFormat="1" applyFont="1" applyFill="1" applyBorder="1"/>
    <xf numFmtId="37" fontId="66" fillId="0" borderId="7" xfId="21" applyFont="1" applyBorder="1" applyAlignment="1">
      <alignment horizontal="left"/>
    </xf>
    <xf numFmtId="41" fontId="66" fillId="0" borderId="0" xfId="6" applyNumberFormat="1" applyFont="1" applyFill="1" applyBorder="1"/>
    <xf numFmtId="41" fontId="66" fillId="0" borderId="8" xfId="6" applyNumberFormat="1" applyFont="1" applyFill="1" applyBorder="1"/>
    <xf numFmtId="41" fontId="66" fillId="0" borderId="7" xfId="6" applyNumberFormat="1" applyFont="1" applyFill="1" applyBorder="1"/>
    <xf numFmtId="37" fontId="66" fillId="0" borderId="0" xfId="21" applyFont="1" applyFill="1" applyBorder="1" applyAlignment="1"/>
    <xf numFmtId="203" fontId="66" fillId="0" borderId="0" xfId="5" applyNumberFormat="1" applyFont="1" applyFill="1" applyBorder="1"/>
    <xf numFmtId="203" fontId="66" fillId="0" borderId="8" xfId="5" applyNumberFormat="1" applyFont="1" applyFill="1" applyBorder="1"/>
    <xf numFmtId="7" fontId="66" fillId="0" borderId="0" xfId="6" applyNumberFormat="1" applyFont="1" applyFill="1" applyBorder="1"/>
    <xf numFmtId="7" fontId="66" fillId="0" borderId="8" xfId="6" applyNumberFormat="1" applyFont="1" applyFill="1" applyBorder="1"/>
    <xf numFmtId="7" fontId="78" fillId="0" borderId="0" xfId="6" applyNumberFormat="1" applyFont="1" applyFill="1" applyBorder="1"/>
    <xf numFmtId="7" fontId="78" fillId="0" borderId="8" xfId="6" applyNumberFormat="1" applyFont="1" applyFill="1" applyBorder="1"/>
    <xf numFmtId="37" fontId="77" fillId="0" borderId="9" xfId="21" applyFont="1" applyBorder="1" applyAlignment="1">
      <alignment horizontal="left"/>
    </xf>
    <xf numFmtId="37" fontId="66" fillId="0" borderId="4" xfId="21" applyFont="1" applyBorder="1" applyAlignment="1"/>
    <xf numFmtId="203" fontId="66" fillId="0" borderId="4" xfId="5" applyNumberFormat="1" applyFont="1" applyFill="1" applyBorder="1"/>
    <xf numFmtId="203" fontId="66" fillId="0" borderId="10" xfId="5" applyNumberFormat="1" applyFont="1" applyFill="1" applyBorder="1"/>
    <xf numFmtId="37" fontId="66" fillId="0" borderId="25" xfId="21" applyFont="1" applyBorder="1" applyAlignment="1">
      <alignment horizontal="left"/>
    </xf>
    <xf numFmtId="37" fontId="66" fillId="0" borderId="25" xfId="21" applyFont="1" applyBorder="1" applyAlignment="1"/>
    <xf numFmtId="9" fontId="66" fillId="0" borderId="25" xfId="23" applyFont="1" applyBorder="1"/>
    <xf numFmtId="37" fontId="66" fillId="0" borderId="0" xfId="21" applyFont="1" applyAlignment="1">
      <alignment horizontal="left"/>
    </xf>
    <xf numFmtId="41" fontId="66" fillId="0" borderId="22" xfId="6" applyNumberFormat="1" applyFont="1" applyFill="1" applyBorder="1"/>
    <xf numFmtId="41" fontId="66" fillId="0" borderId="21" xfId="6" applyNumberFormat="1" applyFont="1" applyFill="1" applyBorder="1"/>
    <xf numFmtId="203" fontId="78" fillId="0" borderId="0" xfId="5" applyNumberFormat="1" applyFont="1" applyFill="1" applyBorder="1"/>
    <xf numFmtId="203" fontId="78" fillId="0" borderId="8" xfId="5" applyNumberFormat="1" applyFont="1" applyFill="1" applyBorder="1"/>
    <xf numFmtId="37" fontId="66" fillId="0" borderId="7" xfId="21" applyFont="1" applyBorder="1" applyAlignment="1"/>
    <xf numFmtId="37" fontId="77" fillId="0" borderId="7" xfId="21" applyFont="1" applyBorder="1" applyAlignment="1"/>
    <xf numFmtId="37" fontId="66" fillId="0" borderId="8" xfId="21" applyFont="1" applyBorder="1" applyAlignment="1"/>
    <xf numFmtId="37" fontId="78" fillId="0" borderId="0" xfId="21" applyFont="1" applyBorder="1" applyAlignment="1"/>
    <xf numFmtId="206" fontId="66" fillId="0" borderId="0" xfId="6" applyNumberFormat="1" applyFont="1" applyFill="1" applyBorder="1"/>
    <xf numFmtId="206" fontId="66" fillId="0" borderId="8" xfId="6" applyNumberFormat="1" applyFont="1" applyFill="1" applyBorder="1"/>
    <xf numFmtId="41" fontId="82" fillId="0" borderId="0" xfId="6" applyNumberFormat="1" applyFont="1" applyFill="1" applyBorder="1"/>
    <xf numFmtId="41" fontId="82" fillId="0" borderId="8" xfId="6" applyNumberFormat="1" applyFont="1" applyFill="1" applyBorder="1"/>
    <xf numFmtId="37" fontId="77" fillId="0" borderId="7" xfId="21" applyFont="1" applyBorder="1" applyAlignment="1">
      <alignment horizontal="left"/>
    </xf>
    <xf numFmtId="37" fontId="77" fillId="0" borderId="25" xfId="21" applyFont="1" applyBorder="1" applyAlignment="1">
      <alignment horizontal="left"/>
    </xf>
    <xf numFmtId="206" fontId="82" fillId="0" borderId="25" xfId="6" applyNumberFormat="1" applyFont="1" applyFill="1" applyBorder="1"/>
    <xf numFmtId="37" fontId="77" fillId="0" borderId="0" xfId="21" applyFont="1" applyAlignment="1">
      <alignment horizontal="left"/>
    </xf>
    <xf numFmtId="206" fontId="82" fillId="0" borderId="0" xfId="6" applyNumberFormat="1" applyFont="1" applyFill="1"/>
    <xf numFmtId="203" fontId="66" fillId="0" borderId="22" xfId="5" applyNumberFormat="1" applyFont="1" applyFill="1" applyBorder="1"/>
    <xf numFmtId="203" fontId="66" fillId="0" borderId="21" xfId="5" applyNumberFormat="1" applyFont="1" applyFill="1" applyBorder="1"/>
    <xf numFmtId="37" fontId="66" fillId="0" borderId="8" xfId="21" applyFont="1" applyFill="1" applyBorder="1" applyAlignment="1"/>
    <xf numFmtId="203" fontId="82" fillId="0" borderId="0" xfId="5" applyNumberFormat="1" applyFont="1" applyFill="1" applyBorder="1"/>
    <xf numFmtId="42" fontId="84" fillId="0" borderId="4" xfId="6" applyNumberFormat="1" applyFont="1" applyFill="1" applyBorder="1"/>
    <xf numFmtId="42" fontId="84" fillId="0" borderId="10" xfId="6" applyNumberFormat="1" applyFont="1" applyFill="1" applyBorder="1"/>
    <xf numFmtId="41" fontId="66" fillId="0" borderId="0" xfId="6" applyNumberFormat="1" applyFont="1" applyFill="1"/>
    <xf numFmtId="206" fontId="66" fillId="0" borderId="0" xfId="6" applyNumberFormat="1" applyFont="1" applyFill="1"/>
    <xf numFmtId="41" fontId="82" fillId="0" borderId="0" xfId="6" applyNumberFormat="1" applyFont="1" applyFill="1"/>
    <xf numFmtId="43" fontId="82" fillId="0" borderId="0" xfId="3" applyFont="1" applyFill="1"/>
    <xf numFmtId="42" fontId="66" fillId="0" borderId="0" xfId="6" applyNumberFormat="1" applyFont="1" applyFill="1"/>
    <xf numFmtId="15" fontId="66" fillId="0" borderId="0" xfId="6" applyNumberFormat="1" applyFont="1" applyFill="1"/>
    <xf numFmtId="251" fontId="66" fillId="0" borderId="0" xfId="6" applyNumberFormat="1" applyFont="1" applyFill="1"/>
    <xf numFmtId="0" fontId="66" fillId="0" borderId="21" xfId="0" applyFont="1" applyBorder="1"/>
    <xf numFmtId="0" fontId="66" fillId="0" borderId="4" xfId="0" applyFont="1" applyBorder="1"/>
    <xf numFmtId="0" fontId="66" fillId="0" borderId="10" xfId="0" applyFont="1" applyBorder="1"/>
    <xf numFmtId="0" fontId="66" fillId="0" borderId="0" xfId="0" applyFont="1" applyFill="1" applyBorder="1"/>
    <xf numFmtId="37" fontId="66" fillId="0" borderId="22" xfId="21" applyFont="1" applyBorder="1" applyAlignment="1">
      <alignment horizontal="right"/>
    </xf>
    <xf numFmtId="0" fontId="80" fillId="0" borderId="7" xfId="0" applyFont="1" applyBorder="1" applyAlignment="1" applyProtection="1">
      <alignment horizontal="left"/>
    </xf>
    <xf numFmtId="0" fontId="66" fillId="0" borderId="8" xfId="0" applyFont="1" applyBorder="1"/>
    <xf numFmtId="0" fontId="116" fillId="0" borderId="7" xfId="0" applyFont="1" applyBorder="1" applyAlignment="1" applyProtection="1">
      <alignment horizontal="left"/>
    </xf>
    <xf numFmtId="203" fontId="66" fillId="0" borderId="8" xfId="5" applyNumberFormat="1" applyFont="1" applyBorder="1" applyProtection="1"/>
    <xf numFmtId="10" fontId="78" fillId="0" borderId="8" xfId="0" applyNumberFormat="1" applyFont="1" applyBorder="1"/>
    <xf numFmtId="0" fontId="77" fillId="0" borderId="7" xfId="0" applyFont="1" applyBorder="1"/>
    <xf numFmtId="203" fontId="77" fillId="0" borderId="8" xfId="5" applyNumberFormat="1" applyFont="1" applyBorder="1" applyProtection="1"/>
    <xf numFmtId="0" fontId="66" fillId="0" borderId="7" xfId="0" applyFont="1" applyBorder="1"/>
    <xf numFmtId="0" fontId="66" fillId="0" borderId="8" xfId="0" applyFont="1" applyBorder="1" applyAlignment="1" applyProtection="1">
      <alignment horizontal="left"/>
    </xf>
    <xf numFmtId="0" fontId="81" fillId="0" borderId="7" xfId="0" applyFont="1" applyBorder="1" applyAlignment="1" applyProtection="1">
      <alignment horizontal="left"/>
    </xf>
    <xf numFmtId="41" fontId="66" fillId="0" borderId="8" xfId="0" applyNumberFormat="1" applyFont="1" applyBorder="1"/>
    <xf numFmtId="0" fontId="77" fillId="0" borderId="7" xfId="0" applyFont="1" applyBorder="1" applyAlignment="1" applyProtection="1">
      <alignment horizontal="left"/>
    </xf>
    <xf numFmtId="203" fontId="66" fillId="0" borderId="0" xfId="5" applyNumberFormat="1" applyFont="1" applyBorder="1"/>
    <xf numFmtId="41" fontId="66" fillId="0" borderId="8" xfId="0" applyNumberFormat="1" applyFont="1" applyBorder="1" applyProtection="1"/>
    <xf numFmtId="41" fontId="82" fillId="0" borderId="8" xfId="0" applyNumberFormat="1" applyFont="1" applyBorder="1"/>
    <xf numFmtId="41" fontId="77" fillId="0" borderId="8" xfId="0" applyNumberFormat="1" applyFont="1" applyBorder="1"/>
    <xf numFmtId="1" fontId="66" fillId="0" borderId="8" xfId="0" applyNumberFormat="1" applyFont="1" applyBorder="1"/>
    <xf numFmtId="38" fontId="66" fillId="0" borderId="8" xfId="5" applyNumberFormat="1" applyFont="1" applyBorder="1" applyProtection="1"/>
    <xf numFmtId="37" fontId="77" fillId="0" borderId="0" xfId="21" applyFont="1" applyBorder="1" applyAlignment="1"/>
    <xf numFmtId="0" fontId="83" fillId="0" borderId="0" xfId="0" applyFont="1" applyBorder="1"/>
    <xf numFmtId="206" fontId="66" fillId="0" borderId="8" xfId="3" applyNumberFormat="1" applyFont="1" applyBorder="1" applyProtection="1"/>
    <xf numFmtId="206" fontId="78" fillId="0" borderId="0" xfId="3" applyNumberFormat="1" applyFont="1" applyBorder="1" applyProtection="1"/>
    <xf numFmtId="206" fontId="78" fillId="0" borderId="8" xfId="3" applyNumberFormat="1" applyFont="1" applyBorder="1" applyProtection="1"/>
    <xf numFmtId="0" fontId="80" fillId="0" borderId="20" xfId="0" applyFont="1" applyBorder="1" applyAlignment="1" applyProtection="1">
      <alignment horizontal="left"/>
    </xf>
    <xf numFmtId="0" fontId="66" fillId="0" borderId="22" xfId="0" applyFont="1" applyBorder="1"/>
    <xf numFmtId="203" fontId="66" fillId="0" borderId="8" xfId="0" applyNumberFormat="1" applyFont="1" applyBorder="1" applyProtection="1"/>
    <xf numFmtId="41" fontId="82" fillId="0" borderId="8" xfId="0" applyNumberFormat="1" applyFont="1" applyBorder="1" applyProtection="1"/>
    <xf numFmtId="206" fontId="66" fillId="0" borderId="7" xfId="3" applyNumberFormat="1" applyFont="1" applyBorder="1"/>
    <xf numFmtId="41" fontId="117" fillId="0" borderId="8" xfId="0" applyNumberFormat="1" applyFont="1" applyBorder="1" applyProtection="1"/>
    <xf numFmtId="10" fontId="66" fillId="0" borderId="0" xfId="0" applyNumberFormat="1" applyFont="1" applyBorder="1"/>
    <xf numFmtId="10" fontId="66" fillId="0" borderId="8" xfId="0" applyNumberFormat="1" applyFont="1" applyBorder="1"/>
    <xf numFmtId="206" fontId="84" fillId="0" borderId="8" xfId="0" applyNumberFormat="1" applyFont="1" applyBorder="1" applyProtection="1"/>
    <xf numFmtId="0" fontId="85" fillId="0" borderId="20" xfId="0" applyFont="1" applyBorder="1"/>
    <xf numFmtId="37" fontId="77" fillId="0" borderId="22" xfId="21" applyFont="1" applyBorder="1" applyAlignment="1"/>
    <xf numFmtId="206" fontId="66" fillId="0" borderId="22" xfId="3" quotePrefix="1" applyNumberFormat="1" applyFont="1" applyBorder="1" applyProtection="1"/>
    <xf numFmtId="206" fontId="66" fillId="0" borderId="22" xfId="3" applyNumberFormat="1" applyFont="1" applyBorder="1" applyProtection="1"/>
    <xf numFmtId="206" fontId="66" fillId="0" borderId="21" xfId="3" applyNumberFormat="1" applyFont="1" applyBorder="1" applyProtection="1"/>
    <xf numFmtId="38" fontId="78" fillId="0" borderId="0" xfId="0" applyNumberFormat="1" applyFont="1" applyBorder="1"/>
    <xf numFmtId="38" fontId="78" fillId="0" borderId="8" xfId="0" applyNumberFormat="1" applyFont="1" applyBorder="1"/>
    <xf numFmtId="0" fontId="66" fillId="0" borderId="9" xfId="0" applyFont="1" applyBorder="1"/>
    <xf numFmtId="0" fontId="38" fillId="0" borderId="21" xfId="0" applyFont="1" applyBorder="1"/>
    <xf numFmtId="0" fontId="38" fillId="0" borderId="4" xfId="0" applyFont="1" applyBorder="1"/>
    <xf numFmtId="0" fontId="38" fillId="0" borderId="20" xfId="0" applyFont="1" applyBorder="1"/>
    <xf numFmtId="0" fontId="38" fillId="0" borderId="7" xfId="0" applyFont="1" applyBorder="1"/>
    <xf numFmtId="206" fontId="76" fillId="0" borderId="7" xfId="3" applyNumberFormat="1" applyFont="1" applyBorder="1"/>
    <xf numFmtId="0" fontId="38" fillId="0" borderId="8" xfId="0" applyFont="1" applyBorder="1"/>
    <xf numFmtId="37" fontId="38" fillId="0" borderId="0" xfId="0" applyNumberFormat="1" applyFont="1" applyBorder="1"/>
    <xf numFmtId="37" fontId="38" fillId="0" borderId="8" xfId="0" applyNumberFormat="1" applyFont="1" applyBorder="1"/>
    <xf numFmtId="41" fontId="86" fillId="0" borderId="0" xfId="0" applyNumberFormat="1" applyFont="1" applyBorder="1"/>
    <xf numFmtId="41" fontId="86" fillId="0" borderId="8" xfId="0" applyNumberFormat="1" applyFont="1" applyBorder="1"/>
    <xf numFmtId="38" fontId="38" fillId="0" borderId="0" xfId="0" applyNumberFormat="1" applyFont="1" applyBorder="1"/>
    <xf numFmtId="38" fontId="38" fillId="0" borderId="8" xfId="0" applyNumberFormat="1" applyFont="1" applyBorder="1"/>
    <xf numFmtId="38" fontId="86" fillId="0" borderId="0" xfId="0" applyNumberFormat="1" applyFont="1" applyBorder="1"/>
    <xf numFmtId="38" fontId="86" fillId="0" borderId="8" xfId="0" applyNumberFormat="1" applyFont="1" applyBorder="1"/>
    <xf numFmtId="206" fontId="77" fillId="0" borderId="9" xfId="3" applyNumberFormat="1" applyFont="1" applyBorder="1"/>
    <xf numFmtId="38" fontId="38" fillId="0" borderId="4" xfId="0" applyNumberFormat="1" applyFont="1" applyBorder="1"/>
    <xf numFmtId="38" fontId="38" fillId="0" borderId="10" xfId="0" applyNumberFormat="1" applyFont="1" applyBorder="1"/>
    <xf numFmtId="206" fontId="76" fillId="0" borderId="20" xfId="3" applyNumberFormat="1" applyFont="1" applyBorder="1"/>
    <xf numFmtId="41" fontId="38" fillId="0" borderId="0" xfId="0" applyNumberFormat="1" applyFont="1" applyBorder="1"/>
    <xf numFmtId="41" fontId="38" fillId="0" borderId="8" xfId="0" applyNumberFormat="1" applyFont="1" applyBorder="1"/>
    <xf numFmtId="206" fontId="77" fillId="0" borderId="7" xfId="3" applyNumberFormat="1" applyFont="1" applyBorder="1"/>
    <xf numFmtId="42" fontId="38" fillId="0" borderId="0" xfId="0" applyNumberFormat="1" applyFont="1" applyBorder="1"/>
    <xf numFmtId="42" fontId="38" fillId="0" borderId="8" xfId="0" applyNumberFormat="1" applyFont="1" applyBorder="1"/>
    <xf numFmtId="206" fontId="77" fillId="0" borderId="23" xfId="3" applyNumberFormat="1" applyFont="1" applyBorder="1"/>
    <xf numFmtId="38" fontId="38" fillId="0" borderId="24" xfId="0" applyNumberFormat="1" applyFont="1" applyBorder="1"/>
    <xf numFmtId="37" fontId="66" fillId="0" borderId="0" xfId="0" applyNumberFormat="1" applyFont="1" applyProtection="1"/>
    <xf numFmtId="37" fontId="66" fillId="0" borderId="0" xfId="0" applyNumberFormat="1" applyFont="1" applyBorder="1"/>
    <xf numFmtId="0" fontId="123" fillId="0" borderId="0" xfId="0" applyFont="1" applyBorder="1" applyProtection="1"/>
    <xf numFmtId="206" fontId="82" fillId="0" borderId="0" xfId="3" applyNumberFormat="1" applyFont="1" applyBorder="1" applyProtection="1"/>
    <xf numFmtId="8" fontId="66" fillId="0" borderId="0" xfId="0" applyNumberFormat="1" applyFont="1"/>
    <xf numFmtId="6" fontId="66" fillId="0" borderId="0" xfId="0" applyNumberFormat="1" applyFont="1"/>
    <xf numFmtId="43" fontId="66" fillId="0" borderId="0" xfId="3" applyFont="1"/>
    <xf numFmtId="0" fontId="66" fillId="0" borderId="0" xfId="0" applyFont="1" applyAlignment="1">
      <alignment horizontal="center"/>
    </xf>
    <xf numFmtId="9" fontId="75" fillId="2" borderId="20" xfId="23" applyFont="1" applyFill="1" applyBorder="1" applyAlignment="1">
      <alignment horizontal="left"/>
    </xf>
    <xf numFmtId="0" fontId="38" fillId="2" borderId="22" xfId="0" applyFont="1" applyFill="1" applyBorder="1"/>
    <xf numFmtId="37" fontId="66" fillId="2" borderId="22" xfId="21" applyFont="1" applyFill="1" applyBorder="1" applyAlignment="1"/>
    <xf numFmtId="37" fontId="66" fillId="2" borderId="21" xfId="21" applyFont="1" applyFill="1" applyBorder="1" applyAlignment="1"/>
    <xf numFmtId="0" fontId="76" fillId="2" borderId="9" xfId="0" applyFont="1" applyFill="1" applyBorder="1"/>
    <xf numFmtId="0" fontId="38" fillId="2" borderId="4" xfId="0" applyFont="1" applyFill="1" applyBorder="1"/>
    <xf numFmtId="9" fontId="66" fillId="2" borderId="4" xfId="23" applyFont="1" applyFill="1" applyBorder="1"/>
    <xf numFmtId="9" fontId="66" fillId="2" borderId="10" xfId="23" applyFont="1" applyFill="1" applyBorder="1"/>
    <xf numFmtId="167" fontId="80" fillId="2" borderId="0" xfId="0" applyNumberFormat="1" applyFont="1" applyFill="1" applyBorder="1" applyProtection="1"/>
    <xf numFmtId="167" fontId="80" fillId="2" borderId="8" xfId="0" applyNumberFormat="1" applyFont="1" applyFill="1" applyBorder="1" applyProtection="1"/>
    <xf numFmtId="37" fontId="77" fillId="0" borderId="7" xfId="21" applyFont="1" applyFill="1" applyBorder="1" applyAlignment="1"/>
    <xf numFmtId="172" fontId="83" fillId="0" borderId="0" xfId="21" applyNumberFormat="1" applyFont="1" applyBorder="1" applyAlignment="1"/>
    <xf numFmtId="0" fontId="66" fillId="2" borderId="22" xfId="0" applyFont="1" applyFill="1" applyBorder="1"/>
    <xf numFmtId="0" fontId="66" fillId="2" borderId="21" xfId="0" applyFont="1" applyFill="1" applyBorder="1"/>
    <xf numFmtId="0" fontId="66" fillId="2" borderId="4" xfId="0" applyFont="1" applyFill="1" applyBorder="1"/>
    <xf numFmtId="0" fontId="66" fillId="2" borderId="10" xfId="0" applyFont="1" applyFill="1" applyBorder="1"/>
    <xf numFmtId="37" fontId="77" fillId="0" borderId="20" xfId="21" applyFont="1" applyBorder="1" applyAlignment="1"/>
    <xf numFmtId="167" fontId="80" fillId="0" borderId="22" xfId="0" applyNumberFormat="1" applyFont="1" applyBorder="1" applyProtection="1"/>
    <xf numFmtId="167" fontId="80" fillId="2" borderId="22" xfId="0" applyNumberFormat="1" applyFont="1" applyFill="1" applyBorder="1" applyProtection="1"/>
    <xf numFmtId="167" fontId="80" fillId="2" borderId="21" xfId="0" applyNumberFormat="1" applyFont="1" applyFill="1" applyBorder="1" applyProtection="1"/>
    <xf numFmtId="0" fontId="66" fillId="0" borderId="0" xfId="0" applyFont="1" applyBorder="1" applyAlignment="1" applyProtection="1">
      <alignment horizontal="right"/>
    </xf>
    <xf numFmtId="0" fontId="66" fillId="0" borderId="8" xfId="0" applyFont="1" applyBorder="1" applyAlignment="1" applyProtection="1">
      <alignment horizontal="right"/>
    </xf>
    <xf numFmtId="37" fontId="123" fillId="0" borderId="0" xfId="0" applyNumberFormat="1" applyFont="1" applyBorder="1"/>
    <xf numFmtId="42" fontId="66" fillId="0" borderId="0" xfId="0" applyNumberFormat="1" applyFont="1" applyBorder="1" applyProtection="1"/>
    <xf numFmtId="42" fontId="66" fillId="0" borderId="8" xfId="0" applyNumberFormat="1" applyFont="1" applyBorder="1" applyProtection="1"/>
    <xf numFmtId="37" fontId="66" fillId="0" borderId="8" xfId="0" applyNumberFormat="1" applyFont="1" applyBorder="1" applyProtection="1"/>
    <xf numFmtId="37" fontId="78" fillId="0" borderId="0" xfId="0" applyNumberFormat="1" applyFont="1" applyBorder="1" applyProtection="1"/>
    <xf numFmtId="37" fontId="78" fillId="0" borderId="8" xfId="0" applyNumberFormat="1" applyFont="1" applyBorder="1" applyProtection="1"/>
    <xf numFmtId="0" fontId="123" fillId="0" borderId="0" xfId="0" applyFont="1" applyBorder="1"/>
    <xf numFmtId="206" fontId="123" fillId="0" borderId="0" xfId="3" applyNumberFormat="1" applyFont="1" applyBorder="1"/>
    <xf numFmtId="206" fontId="82" fillId="0" borderId="8" xfId="3" applyNumberFormat="1" applyFont="1" applyBorder="1" applyProtection="1"/>
    <xf numFmtId="0" fontId="77" fillId="0" borderId="9" xfId="0" applyFont="1" applyBorder="1"/>
    <xf numFmtId="203" fontId="66" fillId="0" borderId="4" xfId="5" applyNumberFormat="1" applyFont="1" applyBorder="1"/>
    <xf numFmtId="203" fontId="123" fillId="0" borderId="4" xfId="5" applyNumberFormat="1" applyFont="1" applyBorder="1" applyProtection="1"/>
    <xf numFmtId="203" fontId="84" fillId="0" borderId="4" xfId="5" applyNumberFormat="1" applyFont="1" applyBorder="1" applyProtection="1"/>
    <xf numFmtId="203" fontId="84" fillId="0" borderId="10" xfId="5" applyNumberFormat="1" applyFont="1" applyBorder="1" applyProtection="1"/>
    <xf numFmtId="0" fontId="77" fillId="0" borderId="20" xfId="0" applyFont="1" applyBorder="1"/>
    <xf numFmtId="8" fontId="66" fillId="0" borderId="22" xfId="0" applyNumberFormat="1" applyFont="1" applyBorder="1"/>
    <xf numFmtId="9" fontId="66" fillId="0" borderId="0" xfId="23" applyFont="1" applyBorder="1"/>
    <xf numFmtId="8" fontId="66" fillId="0" borderId="0" xfId="0" applyNumberFormat="1" applyFont="1" applyBorder="1"/>
    <xf numFmtId="6" fontId="66" fillId="0" borderId="0" xfId="0" applyNumberFormat="1" applyFont="1" applyBorder="1"/>
    <xf numFmtId="6" fontId="66" fillId="0" borderId="8" xfId="0" applyNumberFormat="1" applyFont="1" applyBorder="1"/>
    <xf numFmtId="6" fontId="66" fillId="0" borderId="0" xfId="23" applyNumberFormat="1" applyFont="1" applyBorder="1"/>
    <xf numFmtId="43" fontId="66" fillId="0" borderId="0" xfId="3" applyFont="1" applyBorder="1"/>
    <xf numFmtId="206" fontId="66" fillId="0" borderId="0" xfId="0" applyNumberFormat="1" applyFont="1" applyBorder="1"/>
    <xf numFmtId="206" fontId="66" fillId="0" borderId="8" xfId="0" applyNumberFormat="1" applyFont="1" applyBorder="1"/>
    <xf numFmtId="206" fontId="66" fillId="0" borderId="8" xfId="3" applyNumberFormat="1" applyFont="1" applyBorder="1"/>
    <xf numFmtId="206" fontId="66" fillId="0" borderId="4" xfId="3" applyNumberFormat="1" applyFont="1" applyBorder="1"/>
    <xf numFmtId="206" fontId="66" fillId="0" borderId="10" xfId="3" applyNumberFormat="1" applyFont="1" applyBorder="1"/>
    <xf numFmtId="0" fontId="38" fillId="2" borderId="21" xfId="0" applyFont="1" applyFill="1" applyBorder="1"/>
    <xf numFmtId="0" fontId="38" fillId="2" borderId="10" xfId="0" applyFont="1" applyFill="1" applyBorder="1"/>
    <xf numFmtId="0" fontId="80" fillId="2" borderId="22" xfId="0" applyFont="1" applyFill="1" applyBorder="1"/>
    <xf numFmtId="0" fontId="80" fillId="2" borderId="21" xfId="0" applyFont="1" applyFill="1" applyBorder="1"/>
    <xf numFmtId="9" fontId="79" fillId="2" borderId="22" xfId="23" applyFont="1" applyFill="1" applyBorder="1" applyAlignment="1">
      <alignment horizontal="left"/>
    </xf>
    <xf numFmtId="37" fontId="77" fillId="0" borderId="4" xfId="21" applyFont="1" applyBorder="1" applyAlignment="1"/>
    <xf numFmtId="206" fontId="77" fillId="0" borderId="4" xfId="3" quotePrefix="1" applyNumberFormat="1" applyFont="1" applyBorder="1" applyProtection="1"/>
    <xf numFmtId="206" fontId="77" fillId="0" borderId="10" xfId="3" quotePrefix="1" applyNumberFormat="1" applyFont="1" applyBorder="1" applyProtection="1"/>
    <xf numFmtId="37" fontId="79" fillId="0" borderId="0" xfId="21" applyFont="1" applyBorder="1" applyAlignment="1">
      <alignment horizontal="left"/>
    </xf>
    <xf numFmtId="37" fontId="66" fillId="0" borderId="0" xfId="21" applyFont="1" applyBorder="1" applyAlignment="1">
      <alignment horizontal="right"/>
    </xf>
    <xf numFmtId="206" fontId="83" fillId="0" borderId="0" xfId="3" applyNumberFormat="1" applyFont="1" applyBorder="1" applyProtection="1"/>
    <xf numFmtId="37" fontId="77" fillId="0" borderId="20" xfId="21" applyFont="1" applyFill="1" applyBorder="1" applyAlignment="1"/>
    <xf numFmtId="167" fontId="80" fillId="0" borderId="22" xfId="0" applyNumberFormat="1" applyFont="1" applyFill="1" applyBorder="1" applyProtection="1"/>
    <xf numFmtId="206" fontId="66" fillId="0" borderId="4" xfId="3" applyNumberFormat="1" applyFont="1" applyBorder="1" applyProtection="1"/>
    <xf numFmtId="206" fontId="66" fillId="0" borderId="10" xfId="3" applyNumberFormat="1" applyFont="1" applyBorder="1" applyProtection="1"/>
    <xf numFmtId="167" fontId="89" fillId="0" borderId="0" xfId="0" applyNumberFormat="1" applyFont="1" applyProtection="1"/>
    <xf numFmtId="0" fontId="66" fillId="0" borderId="20" xfId="0" applyFont="1" applyBorder="1"/>
    <xf numFmtId="176" fontId="66" fillId="0" borderId="0" xfId="0" applyNumberFormat="1" applyFont="1" applyBorder="1"/>
    <xf numFmtId="206" fontId="66" fillId="0" borderId="4" xfId="0" applyNumberFormat="1" applyFont="1" applyBorder="1"/>
    <xf numFmtId="206" fontId="66" fillId="0" borderId="10" xfId="0" applyNumberFormat="1" applyFont="1" applyBorder="1"/>
    <xf numFmtId="205" fontId="66" fillId="0" borderId="0" xfId="0" applyNumberFormat="1" applyFont="1"/>
    <xf numFmtId="1" fontId="66" fillId="0" borderId="0" xfId="0" applyNumberFormat="1" applyFont="1"/>
    <xf numFmtId="0" fontId="125" fillId="2" borderId="22" xfId="22" applyFont="1" applyFill="1" applyBorder="1"/>
    <xf numFmtId="0" fontId="125" fillId="2" borderId="21" xfId="22" applyFont="1" applyFill="1" applyBorder="1"/>
    <xf numFmtId="0" fontId="125" fillId="0" borderId="0" xfId="22" applyFont="1"/>
    <xf numFmtId="0" fontId="125" fillId="0" borderId="0" xfId="22" applyFont="1" applyAlignment="1">
      <alignment horizontal="center"/>
    </xf>
    <xf numFmtId="0" fontId="108" fillId="0" borderId="0" xfId="22" applyFont="1"/>
    <xf numFmtId="0" fontId="125" fillId="2" borderId="4" xfId="22" applyFont="1" applyFill="1" applyBorder="1"/>
    <xf numFmtId="0" fontId="125" fillId="2" borderId="10" xfId="22" applyFont="1" applyFill="1" applyBorder="1"/>
    <xf numFmtId="0" fontId="76" fillId="0" borderId="0" xfId="0" applyFont="1" applyBorder="1"/>
    <xf numFmtId="0" fontId="126" fillId="0" borderId="0" xfId="22" applyFont="1" applyBorder="1"/>
    <xf numFmtId="0" fontId="125" fillId="0" borderId="0" xfId="22" applyFont="1" applyBorder="1"/>
    <xf numFmtId="0" fontId="126" fillId="0" borderId="0" xfId="22" applyFont="1" applyAlignment="1">
      <alignment horizontal="center"/>
    </xf>
    <xf numFmtId="0" fontId="126" fillId="0" borderId="20" xfId="22" applyFont="1" applyBorder="1"/>
    <xf numFmtId="0" fontId="108" fillId="0" borderId="22" xfId="22" applyFont="1" applyBorder="1"/>
    <xf numFmtId="5" fontId="127" fillId="0" borderId="21" xfId="22" applyNumberFormat="1" applyFont="1" applyBorder="1"/>
    <xf numFmtId="5" fontId="111" fillId="0" borderId="0" xfId="22" applyNumberFormat="1" applyFont="1" applyBorder="1"/>
    <xf numFmtId="0" fontId="126" fillId="0" borderId="7" xfId="22" applyFont="1" applyBorder="1"/>
    <xf numFmtId="0" fontId="108" fillId="0" borderId="0" xfId="22" applyFont="1" applyBorder="1"/>
    <xf numFmtId="10" fontId="126" fillId="0" borderId="8" xfId="22" applyNumberFormat="1" applyFont="1" applyBorder="1"/>
    <xf numFmtId="10" fontId="126" fillId="0" borderId="0" xfId="22" applyNumberFormat="1" applyFont="1" applyBorder="1"/>
    <xf numFmtId="6" fontId="126" fillId="0" borderId="0" xfId="7" applyNumberFormat="1" applyFont="1" applyBorder="1" applyProtection="1"/>
    <xf numFmtId="37" fontId="128" fillId="0" borderId="8" xfId="22" applyNumberFormat="1" applyFont="1" applyBorder="1"/>
    <xf numFmtId="37" fontId="126" fillId="0" borderId="0" xfId="22" applyNumberFormat="1" applyFont="1" applyBorder="1"/>
    <xf numFmtId="0" fontId="126" fillId="0" borderId="0" xfId="22" applyFont="1"/>
    <xf numFmtId="0" fontId="108" fillId="0" borderId="7" xfId="22" applyFont="1" applyBorder="1"/>
    <xf numFmtId="0" fontId="108" fillId="0" borderId="8" xfId="22" applyFont="1" applyBorder="1"/>
    <xf numFmtId="10" fontId="128" fillId="0" borderId="8" xfId="22" applyNumberFormat="1" applyFont="1" applyBorder="1"/>
    <xf numFmtId="6" fontId="126" fillId="0" borderId="0" xfId="22" applyNumberFormat="1" applyFont="1"/>
    <xf numFmtId="37" fontId="128" fillId="0" borderId="8" xfId="22" applyNumberFormat="1" applyFont="1" applyFill="1" applyBorder="1"/>
    <xf numFmtId="37" fontId="126" fillId="0" borderId="0" xfId="22" applyNumberFormat="1" applyFont="1" applyFill="1" applyBorder="1"/>
    <xf numFmtId="10" fontId="108" fillId="0" borderId="0" xfId="22" applyNumberFormat="1" applyFont="1"/>
    <xf numFmtId="0" fontId="108" fillId="0" borderId="9" xfId="22" applyFont="1" applyBorder="1"/>
    <xf numFmtId="0" fontId="108" fillId="0" borderId="4" xfId="22" applyFont="1" applyBorder="1"/>
    <xf numFmtId="0" fontId="126" fillId="0" borderId="10" xfId="22" applyFont="1" applyBorder="1"/>
    <xf numFmtId="0" fontId="126" fillId="0" borderId="26" xfId="22" applyFont="1" applyBorder="1"/>
    <xf numFmtId="0" fontId="108" fillId="0" borderId="27" xfId="22" applyFont="1" applyBorder="1"/>
    <xf numFmtId="5" fontId="126" fillId="0" borderId="28" xfId="22" applyNumberFormat="1" applyFont="1" applyBorder="1"/>
    <xf numFmtId="5" fontId="126" fillId="0" borderId="0" xfId="22" applyNumberFormat="1" applyFont="1" applyBorder="1"/>
    <xf numFmtId="173" fontId="108" fillId="0" borderId="0" xfId="22" applyNumberFormat="1" applyFont="1"/>
    <xf numFmtId="0" fontId="126" fillId="0" borderId="3" xfId="22" applyFont="1" applyBorder="1" applyAlignment="1">
      <alignment horizontal="center"/>
    </xf>
    <xf numFmtId="0" fontId="126" fillId="0" borderId="24" xfId="22" applyFont="1" applyBorder="1" applyAlignment="1">
      <alignment horizontal="center"/>
    </xf>
    <xf numFmtId="0" fontId="108" fillId="0" borderId="29" xfId="22" applyFont="1" applyBorder="1"/>
    <xf numFmtId="0" fontId="126" fillId="0" borderId="29" xfId="22" applyFont="1" applyBorder="1"/>
    <xf numFmtId="0" fontId="126" fillId="0" borderId="8" xfId="22" applyFont="1" applyBorder="1"/>
    <xf numFmtId="5" fontId="126" fillId="0" borderId="29" xfId="22" applyNumberFormat="1" applyFont="1" applyBorder="1"/>
    <xf numFmtId="5" fontId="126" fillId="0" borderId="8" xfId="22" applyNumberFormat="1" applyFont="1" applyBorder="1"/>
    <xf numFmtId="0" fontId="108" fillId="0" borderId="29" xfId="22" applyFont="1" applyBorder="1" applyAlignment="1">
      <alignment horizontal="center"/>
    </xf>
    <xf numFmtId="171" fontId="108" fillId="0" borderId="29" xfId="22" applyNumberFormat="1" applyFont="1" applyBorder="1"/>
    <xf numFmtId="5" fontId="83" fillId="0" borderId="29" xfId="22" applyNumberFormat="1" applyFont="1" applyBorder="1"/>
    <xf numFmtId="38" fontId="108" fillId="0" borderId="29" xfId="22" applyNumberFormat="1" applyFont="1" applyBorder="1"/>
    <xf numFmtId="5" fontId="108" fillId="0" borderId="8" xfId="22" applyNumberFormat="1" applyFont="1" applyBorder="1"/>
    <xf numFmtId="5" fontId="108" fillId="0" borderId="29" xfId="22" applyNumberFormat="1" applyFont="1" applyBorder="1"/>
    <xf numFmtId="0" fontId="108" fillId="0" borderId="30" xfId="22" applyFont="1" applyBorder="1" applyAlignment="1">
      <alignment horizontal="center"/>
    </xf>
    <xf numFmtId="171" fontId="108" fillId="0" borderId="30" xfId="22" applyNumberFormat="1" applyFont="1" applyBorder="1"/>
    <xf numFmtId="5" fontId="83" fillId="0" borderId="30" xfId="22" applyNumberFormat="1" applyFont="1" applyBorder="1"/>
    <xf numFmtId="38" fontId="108" fillId="0" borderId="30" xfId="22" applyNumberFormat="1" applyFont="1" applyBorder="1"/>
    <xf numFmtId="5" fontId="108" fillId="0" borderId="30" xfId="22" applyNumberFormat="1" applyFont="1" applyBorder="1"/>
    <xf numFmtId="5" fontId="108" fillId="0" borderId="10" xfId="22" applyNumberFormat="1" applyFont="1" applyBorder="1"/>
    <xf numFmtId="5" fontId="38" fillId="0" borderId="0" xfId="0" applyNumberFormat="1" applyFont="1"/>
    <xf numFmtId="171" fontId="108" fillId="0" borderId="0" xfId="22" applyNumberFormat="1" applyFont="1" applyBorder="1"/>
    <xf numFmtId="171" fontId="83" fillId="0" borderId="0" xfId="22" applyNumberFormat="1" applyFont="1" applyBorder="1"/>
    <xf numFmtId="5" fontId="108" fillId="0" borderId="0" xfId="22" applyNumberFormat="1" applyFont="1" applyBorder="1"/>
    <xf numFmtId="5" fontId="108" fillId="0" borderId="0" xfId="22" applyNumberFormat="1" applyFont="1"/>
    <xf numFmtId="37" fontId="129" fillId="2" borderId="22" xfId="21" applyFont="1" applyFill="1" applyBorder="1" applyAlignment="1">
      <alignment horizontal="right"/>
    </xf>
    <xf numFmtId="41" fontId="66" fillId="2" borderId="21" xfId="6" applyNumberFormat="1" applyFont="1" applyFill="1" applyBorder="1"/>
    <xf numFmtId="37" fontId="66" fillId="2" borderId="4" xfId="21" applyFont="1" applyFill="1" applyBorder="1" applyAlignment="1"/>
    <xf numFmtId="37" fontId="66" fillId="2" borderId="10" xfId="21" applyFont="1" applyFill="1" applyBorder="1" applyAlignment="1"/>
    <xf numFmtId="37" fontId="66" fillId="0" borderId="0" xfId="21" applyNumberFormat="1" applyFont="1" applyAlignment="1"/>
    <xf numFmtId="0" fontId="126" fillId="0" borderId="20" xfId="0" applyFont="1" applyBorder="1" applyAlignment="1" applyProtection="1">
      <alignment horizontal="left"/>
      <protection locked="0"/>
    </xf>
    <xf numFmtId="167" fontId="78" fillId="0" borderId="22" xfId="0" applyNumberFormat="1" applyFont="1" applyBorder="1" applyProtection="1">
      <protection locked="0"/>
    </xf>
    <xf numFmtId="167" fontId="78" fillId="0" borderId="0" xfId="0" applyNumberFormat="1" applyFont="1" applyProtection="1">
      <protection locked="0"/>
    </xf>
    <xf numFmtId="170" fontId="83" fillId="0" borderId="0" xfId="0" applyNumberFormat="1" applyFont="1" applyBorder="1" applyProtection="1">
      <protection locked="0"/>
    </xf>
    <xf numFmtId="170" fontId="66" fillId="0" borderId="0" xfId="0" applyNumberFormat="1" applyFont="1" applyBorder="1" applyProtection="1"/>
    <xf numFmtId="0" fontId="83" fillId="0" borderId="0" xfId="0" applyFont="1" applyAlignment="1" applyProtection="1">
      <alignment horizontal="center"/>
      <protection locked="0"/>
    </xf>
    <xf numFmtId="172" fontId="83" fillId="0" borderId="0" xfId="0" applyNumberFormat="1" applyFont="1" applyBorder="1" applyProtection="1">
      <protection locked="0"/>
    </xf>
    <xf numFmtId="10" fontId="66" fillId="0" borderId="0" xfId="23" applyNumberFormat="1" applyFont="1" applyBorder="1" applyProtection="1"/>
    <xf numFmtId="10" fontId="66" fillId="0" borderId="8" xfId="23" applyNumberFormat="1" applyFont="1" applyBorder="1" applyProtection="1"/>
    <xf numFmtId="176" fontId="66" fillId="0" borderId="0" xfId="0" applyNumberFormat="1" applyFont="1" applyProtection="1"/>
    <xf numFmtId="39" fontId="66" fillId="0" borderId="0" xfId="0" applyNumberFormat="1" applyFont="1" applyProtection="1"/>
    <xf numFmtId="172" fontId="66" fillId="0" borderId="0" xfId="0" applyNumberFormat="1" applyFont="1" applyBorder="1" applyProtection="1"/>
    <xf numFmtId="204" fontId="83" fillId="0" borderId="0" xfId="0" applyNumberFormat="1" applyFont="1" applyBorder="1" applyProtection="1">
      <protection locked="0"/>
    </xf>
    <xf numFmtId="203" fontId="66" fillId="0" borderId="8" xfId="5" applyNumberFormat="1" applyFont="1" applyBorder="1"/>
    <xf numFmtId="0" fontId="66" fillId="0" borderId="0" xfId="0" applyFont="1" applyProtection="1"/>
    <xf numFmtId="206" fontId="130" fillId="0" borderId="0" xfId="3" applyNumberFormat="1" applyFont="1" applyBorder="1" applyProtection="1"/>
    <xf numFmtId="206" fontId="130" fillId="0" borderId="8" xfId="3" applyNumberFormat="1" applyFont="1" applyBorder="1" applyProtection="1"/>
    <xf numFmtId="0" fontId="66" fillId="0" borderId="9" xfId="0" applyFont="1" applyBorder="1" applyAlignment="1" applyProtection="1">
      <alignment horizontal="left"/>
    </xf>
    <xf numFmtId="0" fontId="66" fillId="0" borderId="4" xfId="0" applyFont="1" applyBorder="1" applyProtection="1"/>
    <xf numFmtId="203" fontId="66" fillId="0" borderId="10" xfId="5" applyNumberFormat="1" applyFont="1" applyBorder="1"/>
    <xf numFmtId="0" fontId="126" fillId="0" borderId="7" xfId="0" applyFont="1" applyBorder="1" applyAlignment="1" applyProtection="1">
      <alignment horizontal="left"/>
      <protection locked="0"/>
    </xf>
    <xf numFmtId="176" fontId="66" fillId="0" borderId="0" xfId="0" applyNumberFormat="1" applyFont="1" applyBorder="1" applyProtection="1"/>
    <xf numFmtId="10" fontId="83" fillId="0" borderId="0" xfId="23" applyNumberFormat="1" applyFont="1" applyBorder="1" applyProtection="1"/>
    <xf numFmtId="10" fontId="83" fillId="0" borderId="8" xfId="23" applyNumberFormat="1" applyFont="1" applyBorder="1" applyProtection="1"/>
    <xf numFmtId="0" fontId="66" fillId="0" borderId="0" xfId="0" applyFont="1" applyBorder="1" applyAlignment="1">
      <alignment horizontal="center"/>
    </xf>
    <xf numFmtId="9" fontId="83" fillId="0" borderId="0" xfId="23" applyFont="1" applyBorder="1" applyProtection="1"/>
    <xf numFmtId="10" fontId="83" fillId="0" borderId="0" xfId="23" applyNumberFormat="1" applyFont="1" applyProtection="1"/>
    <xf numFmtId="0" fontId="66" fillId="0" borderId="22" xfId="0" applyFont="1" applyBorder="1" applyAlignment="1" applyProtection="1">
      <alignment horizontal="right"/>
    </xf>
    <xf numFmtId="10" fontId="66" fillId="0" borderId="0" xfId="23" applyNumberFormat="1" applyFont="1" applyProtection="1"/>
    <xf numFmtId="203" fontId="66" fillId="0" borderId="0" xfId="0" applyNumberFormat="1" applyFont="1" applyBorder="1"/>
    <xf numFmtId="9" fontId="83" fillId="0" borderId="0" xfId="23" applyFont="1" applyBorder="1" applyProtection="1">
      <protection locked="0"/>
    </xf>
    <xf numFmtId="206" fontId="82" fillId="0" borderId="0" xfId="3" applyNumberFormat="1" applyFont="1" applyProtection="1"/>
    <xf numFmtId="203" fontId="66" fillId="0" borderId="4" xfId="5" applyNumberFormat="1" applyFont="1" applyBorder="1" applyProtection="1"/>
    <xf numFmtId="203" fontId="66" fillId="0" borderId="10" xfId="5" applyNumberFormat="1" applyFont="1" applyBorder="1" applyProtection="1"/>
    <xf numFmtId="203" fontId="66" fillId="0" borderId="0" xfId="5" applyNumberFormat="1" applyFont="1" applyProtection="1"/>
    <xf numFmtId="172" fontId="83" fillId="0" borderId="0" xfId="0" applyNumberFormat="1" applyFont="1" applyProtection="1">
      <protection locked="0"/>
    </xf>
    <xf numFmtId="0" fontId="76" fillId="0" borderId="0" xfId="0" applyFont="1" applyAlignment="1"/>
    <xf numFmtId="0" fontId="38" fillId="0" borderId="0" xfId="0" applyFont="1" applyAlignment="1">
      <alignment horizontal="centerContinuous"/>
    </xf>
    <xf numFmtId="174" fontId="119" fillId="0" borderId="0" xfId="23" applyNumberFormat="1" applyFont="1"/>
    <xf numFmtId="174" fontId="131" fillId="0" borderId="0" xfId="23" applyNumberFormat="1" applyFont="1"/>
    <xf numFmtId="174" fontId="66" fillId="0" borderId="0" xfId="0" applyNumberFormat="1" applyFont="1"/>
    <xf numFmtId="10" fontId="38" fillId="0" borderId="0" xfId="23" applyNumberFormat="1" applyFont="1"/>
    <xf numFmtId="0" fontId="92" fillId="0" borderId="7" xfId="0" applyFont="1" applyBorder="1"/>
    <xf numFmtId="0" fontId="80" fillId="0" borderId="7" xfId="0" applyFont="1" applyBorder="1"/>
    <xf numFmtId="14" fontId="80" fillId="0" borderId="0" xfId="0" applyNumberFormat="1" applyFont="1" applyBorder="1"/>
    <xf numFmtId="14" fontId="80" fillId="0" borderId="8" xfId="0" applyNumberFormat="1" applyFont="1" applyBorder="1"/>
    <xf numFmtId="9" fontId="66" fillId="0" borderId="0" xfId="0" applyNumberFormat="1" applyFont="1" applyBorder="1"/>
    <xf numFmtId="9" fontId="66" fillId="0" borderId="8" xfId="0" applyNumberFormat="1" applyFont="1" applyBorder="1"/>
    <xf numFmtId="6" fontId="38" fillId="0" borderId="0" xfId="0" applyNumberFormat="1" applyFont="1" applyBorder="1"/>
    <xf numFmtId="0" fontId="38" fillId="0" borderId="9" xfId="0" applyFont="1" applyBorder="1"/>
    <xf numFmtId="0" fontId="38" fillId="0" borderId="10" xfId="0" applyFont="1" applyBorder="1"/>
    <xf numFmtId="0" fontId="92" fillId="0" borderId="20" xfId="0" applyFont="1" applyBorder="1"/>
    <xf numFmtId="2" fontId="66" fillId="0" borderId="0" xfId="0" applyNumberFormat="1" applyFont="1" applyBorder="1" applyAlignment="1">
      <alignment horizontal="right"/>
    </xf>
    <xf numFmtId="2" fontId="66" fillId="0" borderId="8" xfId="0" applyNumberFormat="1" applyFont="1" applyBorder="1" applyAlignment="1">
      <alignment horizontal="right"/>
    </xf>
    <xf numFmtId="171" fontId="66" fillId="0" borderId="0" xfId="23" applyNumberFormat="1" applyFont="1" applyBorder="1"/>
    <xf numFmtId="2" fontId="66" fillId="0" borderId="0" xfId="0" applyNumberFormat="1" applyFont="1" applyBorder="1"/>
    <xf numFmtId="2" fontId="66" fillId="0" borderId="8" xfId="0" applyNumberFormat="1" applyFont="1" applyBorder="1"/>
    <xf numFmtId="43" fontId="66" fillId="0" borderId="0" xfId="0" applyNumberFormat="1" applyFont="1" applyBorder="1" applyAlignment="1">
      <alignment horizontal="right"/>
    </xf>
    <xf numFmtId="43" fontId="66" fillId="0" borderId="8" xfId="0" applyNumberFormat="1" applyFont="1" applyBorder="1" applyAlignment="1">
      <alignment horizontal="right"/>
    </xf>
    <xf numFmtId="9" fontId="66" fillId="0" borderId="8" xfId="23" applyFont="1" applyBorder="1"/>
    <xf numFmtId="9" fontId="66" fillId="0" borderId="4" xfId="23" applyFont="1" applyBorder="1"/>
    <xf numFmtId="9" fontId="66" fillId="0" borderId="10" xfId="23" applyFont="1" applyBorder="1"/>
    <xf numFmtId="43" fontId="66" fillId="0" borderId="0" xfId="3" applyNumberFormat="1" applyFont="1"/>
    <xf numFmtId="7" fontId="38" fillId="0" borderId="0" xfId="0" applyNumberFormat="1" applyFont="1"/>
    <xf numFmtId="7" fontId="66" fillId="0" borderId="0" xfId="3" applyNumberFormat="1" applyFont="1" applyBorder="1"/>
    <xf numFmtId="0" fontId="79" fillId="0" borderId="0" xfId="0" applyFont="1" applyBorder="1"/>
    <xf numFmtId="40" fontId="66" fillId="0" borderId="0" xfId="4" applyFont="1" applyFill="1"/>
    <xf numFmtId="7" fontId="66" fillId="0" borderId="0" xfId="3" applyNumberFormat="1" applyFont="1" applyBorder="1" applyAlignment="1">
      <alignment horizontal="right"/>
    </xf>
    <xf numFmtId="1" fontId="80" fillId="2" borderId="22" xfId="0" applyNumberFormat="1" applyFont="1" applyFill="1" applyBorder="1" applyAlignment="1" applyProtection="1">
      <alignment horizontal="center"/>
    </xf>
    <xf numFmtId="1" fontId="80" fillId="2" borderId="21" xfId="0" applyNumberFormat="1" applyFont="1" applyFill="1" applyBorder="1" applyAlignment="1" applyProtection="1">
      <alignment horizontal="center"/>
    </xf>
    <xf numFmtId="37" fontId="76" fillId="0" borderId="7" xfId="21" applyFont="1" applyBorder="1" applyAlignment="1">
      <alignment horizontal="left"/>
    </xf>
    <xf numFmtId="37" fontId="38" fillId="0" borderId="0" xfId="21" applyFont="1" applyBorder="1" applyAlignment="1">
      <alignment horizontal="left"/>
    </xf>
    <xf numFmtId="37" fontId="38" fillId="0" borderId="0" xfId="21" applyFont="1" applyBorder="1" applyAlignment="1"/>
    <xf numFmtId="203" fontId="38" fillId="0" borderId="0" xfId="5" applyNumberFormat="1" applyFont="1" applyFill="1" applyBorder="1"/>
    <xf numFmtId="203" fontId="38" fillId="0" borderId="8" xfId="5" applyNumberFormat="1" applyFont="1" applyFill="1" applyBorder="1"/>
    <xf numFmtId="37" fontId="38" fillId="0" borderId="0" xfId="21" applyFont="1" applyAlignment="1"/>
    <xf numFmtId="176" fontId="66" fillId="0" borderId="0" xfId="21" applyNumberFormat="1" applyFont="1" applyBorder="1" applyAlignment="1"/>
    <xf numFmtId="0" fontId="38" fillId="0" borderId="7" xfId="0" applyFont="1" applyFill="1" applyBorder="1"/>
    <xf numFmtId="43" fontId="38" fillId="0" borderId="0" xfId="3" applyFont="1" applyFill="1" applyBorder="1"/>
    <xf numFmtId="43" fontId="38" fillId="0" borderId="8" xfId="3" applyFont="1" applyFill="1" applyBorder="1"/>
    <xf numFmtId="43" fontId="119" fillId="0" borderId="0" xfId="3" applyFont="1" applyFill="1"/>
    <xf numFmtId="0" fontId="38" fillId="0" borderId="0" xfId="0" applyFont="1" applyFill="1"/>
    <xf numFmtId="10" fontId="38" fillId="0" borderId="0" xfId="23" applyNumberFormat="1" applyFont="1" applyFill="1" applyBorder="1"/>
    <xf numFmtId="10" fontId="38" fillId="0" borderId="8" xfId="23" applyNumberFormat="1" applyFont="1" applyFill="1" applyBorder="1"/>
    <xf numFmtId="206" fontId="38" fillId="0" borderId="0" xfId="3" applyNumberFormat="1" applyFont="1" applyFill="1" applyBorder="1"/>
    <xf numFmtId="0" fontId="38" fillId="0" borderId="8" xfId="0" applyFont="1" applyFill="1" applyBorder="1"/>
    <xf numFmtId="0" fontId="76" fillId="0" borderId="7" xfId="0" applyFont="1" applyFill="1" applyBorder="1"/>
    <xf numFmtId="206" fontId="38" fillId="0" borderId="0" xfId="3" applyNumberFormat="1" applyFont="1" applyFill="1"/>
    <xf numFmtId="206" fontId="38" fillId="0" borderId="8" xfId="3" applyNumberFormat="1" applyFont="1" applyFill="1" applyBorder="1"/>
    <xf numFmtId="14" fontId="80" fillId="0" borderId="0" xfId="0" applyNumberFormat="1" applyFont="1" applyBorder="1" applyProtection="1"/>
    <xf numFmtId="203" fontId="38" fillId="0" borderId="0" xfId="5" applyNumberFormat="1" applyFont="1" applyBorder="1"/>
    <xf numFmtId="206" fontId="132" fillId="0" borderId="0" xfId="3" applyNumberFormat="1" applyFont="1" applyFill="1" applyBorder="1"/>
    <xf numFmtId="0" fontId="76" fillId="0" borderId="9" xfId="0" applyFont="1" applyFill="1" applyBorder="1"/>
    <xf numFmtId="203" fontId="76" fillId="0" borderId="4" xfId="5" applyNumberFormat="1" applyFont="1" applyFill="1" applyBorder="1"/>
    <xf numFmtId="206" fontId="76" fillId="0" borderId="4" xfId="3" applyNumberFormat="1" applyFont="1" applyFill="1" applyBorder="1"/>
    <xf numFmtId="0" fontId="38" fillId="0" borderId="4" xfId="0" applyFont="1" applyFill="1" applyBorder="1"/>
    <xf numFmtId="206" fontId="38" fillId="0" borderId="4" xfId="0" applyNumberFormat="1" applyFont="1" applyFill="1" applyBorder="1"/>
    <xf numFmtId="206" fontId="38" fillId="0" borderId="10" xfId="0" applyNumberFormat="1" applyFont="1" applyFill="1" applyBorder="1"/>
    <xf numFmtId="6" fontId="38" fillId="0" borderId="0" xfId="0" applyNumberFormat="1" applyFont="1"/>
    <xf numFmtId="206" fontId="38" fillId="0" borderId="0" xfId="3" applyNumberFormat="1" applyFont="1"/>
    <xf numFmtId="206" fontId="38" fillId="0" borderId="0" xfId="0" applyNumberFormat="1" applyFont="1"/>
    <xf numFmtId="43" fontId="38" fillId="0" borderId="0" xfId="3" applyNumberFormat="1" applyFont="1"/>
    <xf numFmtId="0" fontId="76" fillId="0" borderId="20" xfId="0" applyFont="1" applyBorder="1"/>
    <xf numFmtId="38" fontId="119" fillId="0" borderId="22" xfId="0" applyNumberFormat="1" applyFont="1" applyBorder="1"/>
    <xf numFmtId="206" fontId="38" fillId="0" borderId="22" xfId="3" applyNumberFormat="1" applyFont="1" applyBorder="1"/>
    <xf numFmtId="43" fontId="119" fillId="0" borderId="0" xfId="3" applyFont="1" applyBorder="1"/>
    <xf numFmtId="10" fontId="119" fillId="0" borderId="0" xfId="23" applyNumberFormat="1" applyFont="1" applyBorder="1"/>
    <xf numFmtId="206" fontId="38" fillId="0" borderId="0" xfId="3" applyNumberFormat="1" applyFont="1" applyBorder="1"/>
    <xf numFmtId="206" fontId="38" fillId="0" borderId="8" xfId="3" applyNumberFormat="1" applyFont="1" applyBorder="1"/>
    <xf numFmtId="43" fontId="38" fillId="0" borderId="4" xfId="3" applyNumberFormat="1" applyFont="1" applyBorder="1"/>
    <xf numFmtId="206" fontId="38" fillId="0" borderId="4" xfId="3" applyNumberFormat="1" applyFont="1" applyBorder="1"/>
    <xf numFmtId="206" fontId="38" fillId="0" borderId="10" xfId="3" applyNumberFormat="1" applyFont="1" applyBorder="1"/>
    <xf numFmtId="9" fontId="119" fillId="0" borderId="0" xfId="23" applyNumberFormat="1" applyFont="1" applyBorder="1"/>
    <xf numFmtId="10" fontId="66" fillId="0" borderId="0" xfId="23" applyNumberFormat="1" applyFont="1" applyFill="1" applyBorder="1"/>
    <xf numFmtId="0" fontId="38" fillId="0" borderId="9" xfId="0" applyFont="1" applyFill="1" applyBorder="1"/>
    <xf numFmtId="10" fontId="66" fillId="0" borderId="4" xfId="23" applyNumberFormat="1" applyFont="1" applyFill="1" applyBorder="1"/>
    <xf numFmtId="43" fontId="38" fillId="0" borderId="4" xfId="0" applyNumberFormat="1" applyFont="1" applyFill="1" applyBorder="1"/>
    <xf numFmtId="210" fontId="38" fillId="0" borderId="0" xfId="3" applyNumberFormat="1" applyFont="1"/>
    <xf numFmtId="0" fontId="76" fillId="0" borderId="20" xfId="0" applyFont="1" applyFill="1" applyBorder="1"/>
    <xf numFmtId="38" fontId="119" fillId="0" borderId="22" xfId="0" applyNumberFormat="1" applyFont="1" applyFill="1" applyBorder="1"/>
    <xf numFmtId="206" fontId="38" fillId="0" borderId="22" xfId="3" applyNumberFormat="1" applyFont="1" applyFill="1" applyBorder="1"/>
    <xf numFmtId="0" fontId="38" fillId="0" borderId="22" xfId="0" applyFont="1" applyFill="1" applyBorder="1"/>
    <xf numFmtId="209" fontId="38" fillId="0" borderId="22" xfId="3" applyNumberFormat="1" applyFont="1" applyFill="1" applyBorder="1"/>
    <xf numFmtId="0" fontId="38" fillId="0" borderId="21" xfId="0" applyFont="1" applyFill="1" applyBorder="1"/>
    <xf numFmtId="43" fontId="119" fillId="0" borderId="0" xfId="3" applyFont="1" applyFill="1" applyBorder="1"/>
    <xf numFmtId="10" fontId="119" fillId="0" borderId="0" xfId="23" applyNumberFormat="1" applyFont="1" applyFill="1" applyBorder="1"/>
    <xf numFmtId="9" fontId="38" fillId="0" borderId="0" xfId="23" applyNumberFormat="1" applyFont="1" applyBorder="1"/>
    <xf numFmtId="206" fontId="38" fillId="0" borderId="0" xfId="0" applyNumberFormat="1" applyFont="1" applyFill="1" applyBorder="1"/>
    <xf numFmtId="206" fontId="38" fillId="0" borderId="8" xfId="0" applyNumberFormat="1" applyFont="1" applyFill="1" applyBorder="1"/>
    <xf numFmtId="0" fontId="66" fillId="0" borderId="0" xfId="0" applyFont="1" applyFill="1"/>
    <xf numFmtId="10" fontId="66" fillId="0" borderId="0" xfId="23" applyNumberFormat="1" applyFont="1" applyFill="1"/>
    <xf numFmtId="43" fontId="38" fillId="0" borderId="0" xfId="0" applyNumberFormat="1" applyFont="1" applyFill="1"/>
    <xf numFmtId="0" fontId="76" fillId="0" borderId="19" xfId="0" applyFont="1" applyBorder="1"/>
    <xf numFmtId="0" fontId="38" fillId="0" borderId="12" xfId="0" applyFont="1" applyFill="1" applyBorder="1"/>
    <xf numFmtId="206" fontId="38" fillId="0" borderId="12" xfId="3" applyNumberFormat="1" applyFont="1" applyFill="1" applyBorder="1"/>
    <xf numFmtId="206" fontId="38" fillId="0" borderId="13" xfId="3" applyNumberFormat="1" applyFont="1" applyFill="1" applyBorder="1"/>
    <xf numFmtId="0" fontId="38" fillId="0" borderId="14" xfId="0" applyFont="1" applyFill="1" applyBorder="1"/>
    <xf numFmtId="203" fontId="38" fillId="0" borderId="15" xfId="5" applyNumberFormat="1" applyFont="1" applyFill="1" applyBorder="1"/>
    <xf numFmtId="206" fontId="38" fillId="0" borderId="15" xfId="3" applyNumberFormat="1" applyFont="1" applyFill="1" applyBorder="1"/>
    <xf numFmtId="38" fontId="119" fillId="0" borderId="0" xfId="0" applyNumberFormat="1" applyFont="1" applyFill="1" applyBorder="1"/>
    <xf numFmtId="0" fontId="38" fillId="0" borderId="14" xfId="0" applyFont="1" applyBorder="1"/>
    <xf numFmtId="10" fontId="38" fillId="0" borderId="0" xfId="23" applyNumberFormat="1" applyFont="1" applyBorder="1"/>
    <xf numFmtId="43" fontId="38" fillId="0" borderId="0" xfId="0" applyNumberFormat="1" applyFont="1" applyBorder="1"/>
    <xf numFmtId="43" fontId="38" fillId="0" borderId="15" xfId="0" applyNumberFormat="1" applyFont="1" applyBorder="1"/>
    <xf numFmtId="0" fontId="38" fillId="0" borderId="17" xfId="0" applyFont="1" applyBorder="1"/>
    <xf numFmtId="10" fontId="38" fillId="0" borderId="16" xfId="23" applyNumberFormat="1" applyFont="1" applyBorder="1"/>
    <xf numFmtId="0" fontId="38" fillId="0" borderId="16" xfId="0" applyFont="1" applyBorder="1"/>
    <xf numFmtId="206" fontId="38" fillId="0" borderId="16" xfId="0" applyNumberFormat="1" applyFont="1" applyBorder="1"/>
    <xf numFmtId="206" fontId="38" fillId="0" borderId="18" xfId="0" applyNumberFormat="1" applyFont="1" applyBorder="1"/>
    <xf numFmtId="39" fontId="76" fillId="0" borderId="0" xfId="21" applyNumberFormat="1" applyFont="1" applyFill="1" applyAlignment="1"/>
    <xf numFmtId="43" fontId="38" fillId="0" borderId="0" xfId="0" applyNumberFormat="1" applyFont="1"/>
    <xf numFmtId="176" fontId="66" fillId="0" borderId="0" xfId="21" applyNumberFormat="1" applyFont="1" applyFill="1" applyAlignment="1"/>
    <xf numFmtId="37" fontId="107" fillId="0" borderId="0" xfId="21" applyFont="1" applyAlignment="1"/>
    <xf numFmtId="0" fontId="77" fillId="0" borderId="8" xfId="0" applyFont="1" applyBorder="1"/>
    <xf numFmtId="171" fontId="83" fillId="8" borderId="0" xfId="23" applyNumberFormat="1" applyFont="1" applyFill="1" applyBorder="1"/>
    <xf numFmtId="171" fontId="83" fillId="8" borderId="8" xfId="23" applyNumberFormat="1" applyFont="1" applyFill="1" applyBorder="1"/>
    <xf numFmtId="171" fontId="83" fillId="8" borderId="0" xfId="23" applyNumberFormat="1" applyFont="1" applyFill="1"/>
    <xf numFmtId="37" fontId="66" fillId="0" borderId="9" xfId="21" applyFont="1" applyBorder="1" applyAlignment="1">
      <alignment horizontal="left"/>
    </xf>
    <xf numFmtId="41" fontId="66" fillId="0" borderId="4" xfId="6" applyNumberFormat="1" applyFont="1" applyFill="1" applyBorder="1"/>
    <xf numFmtId="203" fontId="66" fillId="0" borderId="0" xfId="5" applyNumberFormat="1" applyFont="1" applyFill="1"/>
    <xf numFmtId="38" fontId="83" fillId="0" borderId="0" xfId="0" applyNumberFormat="1" applyFont="1"/>
    <xf numFmtId="171" fontId="66" fillId="0" borderId="8" xfId="23" applyNumberFormat="1" applyFont="1" applyBorder="1"/>
    <xf numFmtId="171" fontId="66" fillId="0" borderId="0" xfId="23" applyNumberFormat="1" applyFont="1"/>
    <xf numFmtId="171" fontId="78" fillId="0" borderId="0" xfId="23" applyNumberFormat="1" applyFont="1" applyBorder="1"/>
    <xf numFmtId="171" fontId="78" fillId="0" borderId="8" xfId="23" applyNumberFormat="1" applyFont="1" applyBorder="1"/>
    <xf numFmtId="171" fontId="78" fillId="0" borderId="0" xfId="23" applyNumberFormat="1" applyFont="1"/>
    <xf numFmtId="37" fontId="78" fillId="0" borderId="0" xfId="21" applyFont="1" applyFill="1" applyBorder="1" applyAlignment="1"/>
    <xf numFmtId="37" fontId="78" fillId="0" borderId="8" xfId="21" applyFont="1" applyFill="1" applyBorder="1" applyAlignment="1"/>
    <xf numFmtId="37" fontId="78" fillId="0" borderId="0" xfId="21" applyFont="1" applyFill="1" applyAlignment="1"/>
    <xf numFmtId="206" fontId="78" fillId="0" borderId="0" xfId="3" applyNumberFormat="1" applyFont="1" applyBorder="1"/>
    <xf numFmtId="206" fontId="78" fillId="0" borderId="8" xfId="3" applyNumberFormat="1" applyFont="1" applyBorder="1"/>
    <xf numFmtId="8" fontId="83" fillId="16" borderId="0" xfId="6" applyFont="1" applyFill="1" applyBorder="1"/>
    <xf numFmtId="8" fontId="83" fillId="16" borderId="8" xfId="6" applyFont="1" applyFill="1" applyBorder="1"/>
    <xf numFmtId="8" fontId="83" fillId="0" borderId="0" xfId="6" applyFont="1" applyFill="1"/>
    <xf numFmtId="8" fontId="83" fillId="0" borderId="0" xfId="6" applyFont="1" applyFill="1" applyBorder="1"/>
    <xf numFmtId="8" fontId="83" fillId="0" borderId="8" xfId="6" applyFont="1" applyFill="1" applyBorder="1"/>
    <xf numFmtId="37" fontId="66" fillId="0" borderId="7" xfId="21" applyFont="1" applyFill="1" applyBorder="1" applyAlignment="1"/>
    <xf numFmtId="10" fontId="66" fillId="0" borderId="8" xfId="23" applyNumberFormat="1" applyFont="1" applyFill="1" applyBorder="1"/>
    <xf numFmtId="8" fontId="66" fillId="0" borderId="0" xfId="6" applyFont="1" applyFill="1" applyBorder="1"/>
    <xf numFmtId="197" fontId="66" fillId="0" borderId="0" xfId="6" applyNumberFormat="1" applyFont="1" applyFill="1" applyBorder="1"/>
    <xf numFmtId="8" fontId="66" fillId="0" borderId="8" xfId="6" applyFont="1" applyFill="1" applyBorder="1"/>
    <xf numFmtId="8" fontId="66" fillId="0" borderId="0" xfId="6" applyFont="1" applyFill="1"/>
    <xf numFmtId="8" fontId="83" fillId="0" borderId="4" xfId="6" applyFont="1" applyFill="1" applyBorder="1"/>
    <xf numFmtId="8" fontId="83" fillId="0" borderId="10" xfId="6" applyFont="1" applyFill="1" applyBorder="1"/>
    <xf numFmtId="208" fontId="38" fillId="0" borderId="0" xfId="0" applyNumberFormat="1" applyFont="1"/>
    <xf numFmtId="37" fontId="38" fillId="0" borderId="0" xfId="0" applyNumberFormat="1" applyFont="1"/>
    <xf numFmtId="205" fontId="66" fillId="0" borderId="0" xfId="3" applyNumberFormat="1" applyFont="1" applyFill="1" applyBorder="1"/>
    <xf numFmtId="37" fontId="76" fillId="0" borderId="7" xfId="21" applyFont="1" applyBorder="1" applyAlignment="1"/>
    <xf numFmtId="9" fontId="66" fillId="0" borderId="0" xfId="23" applyFont="1" applyBorder="1" applyAlignment="1">
      <alignment horizontal="center"/>
    </xf>
    <xf numFmtId="9" fontId="66" fillId="0" borderId="8" xfId="23" applyFont="1" applyBorder="1" applyAlignment="1">
      <alignment horizontal="center"/>
    </xf>
    <xf numFmtId="37" fontId="76" fillId="0" borderId="9" xfId="21" applyFont="1" applyBorder="1" applyAlignment="1"/>
    <xf numFmtId="7" fontId="66" fillId="0" borderId="4" xfId="0" applyNumberFormat="1" applyFont="1" applyBorder="1"/>
    <xf numFmtId="172" fontId="66" fillId="0" borderId="4" xfId="21" applyNumberFormat="1" applyFont="1" applyBorder="1" applyAlignment="1">
      <alignment horizontal="center"/>
    </xf>
    <xf numFmtId="172" fontId="66" fillId="0" borderId="10" xfId="21" applyNumberFormat="1" applyFont="1" applyBorder="1" applyAlignment="1">
      <alignment horizontal="center"/>
    </xf>
    <xf numFmtId="7" fontId="66" fillId="0" borderId="22" xfId="3" applyNumberFormat="1" applyFont="1" applyBorder="1" applyAlignment="1">
      <alignment horizontal="right"/>
    </xf>
    <xf numFmtId="7" fontId="66" fillId="0" borderId="21" xfId="3" applyNumberFormat="1" applyFont="1" applyBorder="1" applyAlignment="1">
      <alignment horizontal="right"/>
    </xf>
    <xf numFmtId="7" fontId="66" fillId="0" borderId="8" xfId="3" applyNumberFormat="1" applyFont="1" applyBorder="1" applyAlignment="1">
      <alignment horizontal="right"/>
    </xf>
    <xf numFmtId="43" fontId="83" fillId="0" borderId="0" xfId="3" applyFont="1" applyBorder="1" applyAlignment="1">
      <alignment horizontal="right"/>
    </xf>
    <xf numFmtId="43" fontId="66" fillId="0" borderId="0" xfId="3" applyFont="1" applyFill="1" applyBorder="1" applyAlignment="1">
      <alignment horizontal="right"/>
    </xf>
    <xf numFmtId="7" fontId="83" fillId="0" borderId="0" xfId="3" applyNumberFormat="1" applyFont="1" applyBorder="1"/>
    <xf numFmtId="7" fontId="66" fillId="0" borderId="8" xfId="3" applyNumberFormat="1" applyFont="1" applyBorder="1"/>
    <xf numFmtId="9" fontId="83" fillId="0" borderId="0" xfId="3" applyNumberFormat="1" applyFont="1" applyBorder="1"/>
    <xf numFmtId="9" fontId="66" fillId="0" borderId="0" xfId="3" applyNumberFormat="1" applyFont="1" applyBorder="1"/>
    <xf numFmtId="9" fontId="66" fillId="0" borderId="8" xfId="3" applyNumberFormat="1" applyFont="1" applyBorder="1"/>
    <xf numFmtId="8" fontId="66" fillId="0" borderId="0" xfId="4" applyNumberFormat="1" applyFont="1" applyFill="1" applyBorder="1"/>
    <xf numFmtId="8" fontId="66" fillId="0" borderId="8" xfId="4" applyNumberFormat="1" applyFont="1" applyFill="1" applyBorder="1"/>
    <xf numFmtId="275" fontId="66" fillId="0" borderId="0" xfId="4" applyNumberFormat="1" applyFont="1" applyFill="1" applyBorder="1"/>
    <xf numFmtId="275" fontId="66" fillId="0" borderId="8" xfId="4" applyNumberFormat="1" applyFont="1" applyFill="1" applyBorder="1"/>
    <xf numFmtId="275" fontId="78" fillId="0" borderId="0" xfId="4" applyNumberFormat="1" applyFont="1" applyFill="1" applyBorder="1"/>
    <xf numFmtId="275" fontId="66" fillId="0" borderId="4" xfId="4" applyNumberFormat="1" applyFont="1" applyFill="1" applyBorder="1"/>
    <xf numFmtId="275" fontId="66" fillId="0" borderId="10" xfId="4" applyNumberFormat="1" applyFont="1" applyFill="1" applyBorder="1"/>
    <xf numFmtId="0" fontId="77" fillId="0" borderId="22" xfId="0" applyFont="1" applyBorder="1"/>
    <xf numFmtId="0" fontId="77" fillId="0" borderId="21" xfId="0" applyFont="1" applyBorder="1"/>
    <xf numFmtId="41" fontId="66" fillId="0" borderId="31" xfId="0" applyNumberFormat="1" applyFont="1" applyBorder="1"/>
    <xf numFmtId="41" fontId="66" fillId="0" borderId="29" xfId="0" applyNumberFormat="1" applyFont="1" applyBorder="1"/>
    <xf numFmtId="41" fontId="66" fillId="0" borderId="30" xfId="0" applyNumberFormat="1" applyFont="1" applyBorder="1"/>
    <xf numFmtId="43" fontId="66" fillId="0" borderId="31" xfId="3" applyFont="1" applyBorder="1"/>
    <xf numFmtId="44" fontId="66" fillId="0" borderId="0" xfId="5" applyFont="1" applyBorder="1"/>
    <xf numFmtId="44" fontId="66" fillId="0" borderId="8" xfId="5" applyFont="1" applyBorder="1"/>
    <xf numFmtId="43" fontId="78" fillId="0" borderId="29" xfId="3" applyFont="1" applyBorder="1"/>
    <xf numFmtId="43" fontId="82" fillId="0" borderId="0" xfId="3" applyNumberFormat="1" applyFont="1" applyBorder="1"/>
    <xf numFmtId="43" fontId="82" fillId="0" borderId="8" xfId="3" applyNumberFormat="1" applyFont="1" applyBorder="1"/>
    <xf numFmtId="43" fontId="66" fillId="0" borderId="29" xfId="3" applyFont="1" applyBorder="1"/>
    <xf numFmtId="0" fontId="66" fillId="0" borderId="29" xfId="0" applyFont="1" applyBorder="1"/>
    <xf numFmtId="40" fontId="66" fillId="0" borderId="0" xfId="0" applyNumberFormat="1" applyFont="1" applyBorder="1"/>
    <xf numFmtId="40" fontId="66" fillId="0" borderId="8" xfId="0" applyNumberFormat="1" applyFont="1" applyBorder="1"/>
    <xf numFmtId="43" fontId="66" fillId="0" borderId="30" xfId="3" applyFont="1" applyBorder="1"/>
    <xf numFmtId="43" fontId="66" fillId="0" borderId="30" xfId="0" applyNumberFormat="1" applyFont="1" applyBorder="1"/>
    <xf numFmtId="44" fontId="66" fillId="0" borderId="4" xfId="5" applyNumberFormat="1" applyFont="1" applyBorder="1"/>
    <xf numFmtId="44" fontId="66" fillId="0" borderId="4" xfId="5" applyFont="1" applyBorder="1"/>
    <xf numFmtId="44" fontId="66" fillId="0" borderId="10" xfId="5" applyFont="1" applyBorder="1"/>
    <xf numFmtId="44" fontId="66" fillId="0" borderId="0" xfId="5" applyNumberFormat="1" applyFont="1"/>
    <xf numFmtId="44" fontId="66" fillId="0" borderId="0" xfId="5" applyFont="1"/>
    <xf numFmtId="7" fontId="66" fillId="0" borderId="31" xfId="0" applyNumberFormat="1" applyFont="1" applyBorder="1"/>
    <xf numFmtId="7" fontId="66" fillId="0" borderId="29" xfId="0" applyNumberFormat="1" applyFont="1" applyBorder="1"/>
    <xf numFmtId="7" fontId="66" fillId="0" borderId="30" xfId="0" applyNumberFormat="1" applyFont="1" applyBorder="1"/>
    <xf numFmtId="0" fontId="83" fillId="0" borderId="7" xfId="0" applyFont="1" applyBorder="1"/>
    <xf numFmtId="7" fontId="127" fillId="0" borderId="0" xfId="3" applyNumberFormat="1" applyFont="1" applyBorder="1"/>
    <xf numFmtId="40" fontId="66" fillId="0" borderId="0" xfId="4" applyFont="1" applyFill="1" applyBorder="1"/>
    <xf numFmtId="40" fontId="66" fillId="0" borderId="8" xfId="4" applyFont="1" applyFill="1" applyBorder="1"/>
    <xf numFmtId="37" fontId="83" fillId="0" borderId="7" xfId="21" applyFont="1" applyBorder="1" applyAlignment="1">
      <alignment horizontal="left"/>
    </xf>
    <xf numFmtId="40" fontId="83" fillId="0" borderId="0" xfId="4" applyFont="1" applyFill="1" applyBorder="1"/>
    <xf numFmtId="37" fontId="83" fillId="0" borderId="9" xfId="21" applyFont="1" applyBorder="1" applyAlignment="1">
      <alignment horizontal="left"/>
    </xf>
    <xf numFmtId="40" fontId="83" fillId="0" borderId="4" xfId="4" applyFont="1" applyFill="1" applyBorder="1"/>
    <xf numFmtId="206" fontId="88" fillId="0" borderId="0" xfId="3" applyNumberFormat="1" applyFont="1" applyFill="1" applyBorder="1"/>
    <xf numFmtId="203" fontId="88" fillId="0" borderId="0" xfId="5" applyNumberFormat="1" applyFont="1" applyFill="1" applyBorder="1"/>
    <xf numFmtId="203" fontId="98" fillId="0" borderId="0" xfId="5" applyNumberFormat="1" applyFont="1" applyFill="1" applyBorder="1"/>
    <xf numFmtId="10" fontId="97" fillId="0" borderId="0" xfId="23" applyNumberFormat="1" applyFont="1" applyBorder="1" applyAlignment="1">
      <alignment horizontal="center"/>
    </xf>
    <xf numFmtId="206" fontId="88" fillId="0" borderId="0" xfId="3" applyNumberFormat="1" applyFont="1" applyFill="1" applyBorder="1" applyAlignment="1">
      <alignment horizontal="right"/>
    </xf>
    <xf numFmtId="206" fontId="88" fillId="0" borderId="8" xfId="3" applyNumberFormat="1" applyFont="1" applyFill="1" applyBorder="1" applyAlignment="1">
      <alignment horizontal="right"/>
    </xf>
    <xf numFmtId="206" fontId="88" fillId="0" borderId="0" xfId="3" applyNumberFormat="1" applyFont="1" applyFill="1" applyBorder="1" applyProtection="1">
      <protection locked="0"/>
    </xf>
    <xf numFmtId="206" fontId="88" fillId="0" borderId="8" xfId="3" applyNumberFormat="1" applyFont="1" applyFill="1" applyBorder="1" applyProtection="1">
      <protection locked="0"/>
    </xf>
    <xf numFmtId="43" fontId="88" fillId="0" borderId="0" xfId="3" applyNumberFormat="1" applyFont="1" applyFill="1" applyBorder="1" applyAlignment="1">
      <alignment horizontal="right"/>
    </xf>
    <xf numFmtId="206" fontId="88" fillId="0" borderId="8" xfId="3" applyNumberFormat="1" applyFont="1" applyFill="1" applyBorder="1"/>
    <xf numFmtId="171" fontId="87" fillId="0" borderId="8" xfId="23" applyNumberFormat="1" applyFont="1" applyFill="1" applyBorder="1" applyProtection="1">
      <protection locked="0"/>
    </xf>
    <xf numFmtId="0" fontId="97" fillId="0" borderId="8" xfId="0" applyFont="1" applyBorder="1" applyAlignment="1">
      <alignment horizontal="center" wrapText="1"/>
    </xf>
    <xf numFmtId="42" fontId="87" fillId="0" borderId="8" xfId="0" applyNumberFormat="1" applyFont="1" applyBorder="1"/>
    <xf numFmtId="42" fontId="89" fillId="0" borderId="8" xfId="0" applyNumberFormat="1" applyFont="1" applyBorder="1"/>
    <xf numFmtId="42" fontId="100" fillId="0" borderId="10" xfId="0" applyNumberFormat="1" applyFont="1" applyBorder="1"/>
    <xf numFmtId="203" fontId="100" fillId="0" borderId="0" xfId="5" applyNumberFormat="1" applyFont="1" applyBorder="1"/>
    <xf numFmtId="0" fontId="100" fillId="0" borderId="0" xfId="0" applyFont="1" applyBorder="1"/>
    <xf numFmtId="42" fontId="100" fillId="0" borderId="8" xfId="0" applyNumberFormat="1" applyFont="1" applyBorder="1"/>
    <xf numFmtId="40" fontId="87" fillId="0" borderId="8" xfId="0" applyNumberFormat="1" applyFont="1" applyBorder="1"/>
    <xf numFmtId="43" fontId="66" fillId="0" borderId="0" xfId="3" applyNumberFormat="1" applyFont="1" applyBorder="1"/>
    <xf numFmtId="40" fontId="89" fillId="0" borderId="8" xfId="0" applyNumberFormat="1" applyFont="1" applyBorder="1"/>
    <xf numFmtId="0" fontId="87" fillId="2" borderId="0" xfId="0" applyFont="1" applyFill="1"/>
    <xf numFmtId="0" fontId="12" fillId="2" borderId="0" xfId="0" applyFont="1" applyFill="1"/>
    <xf numFmtId="0" fontId="115" fillId="4" borderId="20" xfId="0" applyFont="1" applyFill="1" applyBorder="1" applyAlignment="1" applyProtection="1">
      <alignment horizontal="left"/>
    </xf>
    <xf numFmtId="203" fontId="100" fillId="4" borderId="22" xfId="5" applyNumberFormat="1" applyFont="1" applyFill="1" applyBorder="1" applyProtection="1">
      <protection locked="0"/>
    </xf>
    <xf numFmtId="317" fontId="100" fillId="4" borderId="22" xfId="0" applyNumberFormat="1" applyFont="1" applyFill="1" applyBorder="1"/>
    <xf numFmtId="6" fontId="100" fillId="4" borderId="22" xfId="0" applyNumberFormat="1" applyFont="1" applyFill="1" applyBorder="1"/>
    <xf numFmtId="42" fontId="100" fillId="4" borderId="21" xfId="0" applyNumberFormat="1" applyFont="1" applyFill="1" applyBorder="1"/>
    <xf numFmtId="38" fontId="88" fillId="0" borderId="0" xfId="5" applyNumberFormat="1" applyFont="1" applyBorder="1" applyProtection="1">
      <protection locked="0"/>
    </xf>
    <xf numFmtId="42" fontId="87" fillId="0" borderId="0" xfId="0" applyNumberFormat="1" applyFont="1" applyBorder="1"/>
    <xf numFmtId="171" fontId="87" fillId="0" borderId="8" xfId="23" applyNumberFormat="1" applyFont="1" applyBorder="1"/>
    <xf numFmtId="42" fontId="89" fillId="0" borderId="0" xfId="0" applyNumberFormat="1" applyFont="1" applyBorder="1"/>
    <xf numFmtId="9" fontId="100" fillId="0" borderId="8" xfId="23" applyFont="1" applyBorder="1"/>
    <xf numFmtId="0" fontId="94" fillId="0" borderId="9" xfId="0" applyFont="1" applyBorder="1" applyAlignment="1" applyProtection="1">
      <alignment horizontal="left"/>
    </xf>
    <xf numFmtId="42" fontId="87"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0" fontId="1" fillId="0" borderId="7" xfId="0" applyFont="1" applyBorder="1" applyAlignment="1">
      <alignment wrapText="1"/>
    </xf>
    <xf numFmtId="8" fontId="0" fillId="0" borderId="8" xfId="23" applyNumberFormat="1" applyFont="1" applyBorder="1"/>
    <xf numFmtId="0" fontId="1" fillId="0" borderId="7" xfId="0" applyFont="1" applyBorder="1"/>
    <xf numFmtId="0" fontId="0" fillId="0" borderId="8" xfId="0" applyBorder="1"/>
    <xf numFmtId="0" fontId="1" fillId="0" borderId="9" xfId="0" applyFont="1" applyBorder="1"/>
    <xf numFmtId="0" fontId="0" fillId="0" borderId="10" xfId="0" applyBorder="1"/>
    <xf numFmtId="0" fontId="1" fillId="0" borderId="22" xfId="0" applyFont="1" applyBorder="1" applyAlignment="1">
      <alignment wrapText="1"/>
    </xf>
    <xf numFmtId="0" fontId="1" fillId="0" borderId="22" xfId="0" applyFont="1" applyBorder="1"/>
    <xf numFmtId="0" fontId="1" fillId="0" borderId="21" xfId="0" applyFont="1" applyBorder="1"/>
    <xf numFmtId="0" fontId="0" fillId="0" borderId="7"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8" xfId="23" applyNumberFormat="1" applyFont="1" applyBorder="1"/>
    <xf numFmtId="0" fontId="0" fillId="0" borderId="9" xfId="0" applyBorder="1"/>
    <xf numFmtId="38" fontId="0" fillId="0" borderId="4" xfId="0" applyNumberFormat="1" applyBorder="1"/>
    <xf numFmtId="10" fontId="0" fillId="0" borderId="4" xfId="23" applyNumberFormat="1" applyFont="1" applyBorder="1"/>
    <xf numFmtId="10" fontId="0" fillId="0" borderId="10" xfId="23" applyNumberFormat="1" applyFont="1" applyBorder="1"/>
    <xf numFmtId="203" fontId="77" fillId="0" borderId="0" xfId="5" applyNumberFormat="1" applyFont="1" applyFill="1" applyBorder="1"/>
    <xf numFmtId="203" fontId="77" fillId="0" borderId="8" xfId="5" applyNumberFormat="1" applyFont="1" applyFill="1" applyBorder="1"/>
    <xf numFmtId="37" fontId="77" fillId="0" borderId="8" xfId="21" applyFont="1" applyBorder="1" applyAlignment="1"/>
    <xf numFmtId="0" fontId="99" fillId="0" borderId="23" xfId="0" applyFont="1" applyBorder="1"/>
    <xf numFmtId="0" fontId="106" fillId="0" borderId="24" xfId="0" applyFont="1" applyBorder="1"/>
    <xf numFmtId="0" fontId="87" fillId="0" borderId="23" xfId="0" applyFont="1" applyBorder="1"/>
    <xf numFmtId="0" fontId="88" fillId="0" borderId="24" xfId="0" applyFont="1" applyBorder="1"/>
    <xf numFmtId="6" fontId="87" fillId="0" borderId="4" xfId="0" applyNumberFormat="1" applyFont="1" applyBorder="1"/>
    <xf numFmtId="203" fontId="100" fillId="0" borderId="0" xfId="5" applyNumberFormat="1" applyFont="1" applyBorder="1" applyAlignment="1" applyProtection="1">
      <alignment horizontal="center" wrapText="1"/>
      <protection locked="0"/>
    </xf>
    <xf numFmtId="317" fontId="100" fillId="0" borderId="0" xfId="0" applyNumberFormat="1" applyFont="1" applyBorder="1" applyAlignment="1">
      <alignment horizontal="center" wrapText="1"/>
    </xf>
    <xf numFmtId="0" fontId="100" fillId="0" borderId="0" xfId="0" applyFont="1" applyBorder="1" applyAlignment="1">
      <alignment horizontal="center"/>
    </xf>
    <xf numFmtId="6" fontId="100" fillId="0" borderId="0" xfId="0" applyNumberFormat="1" applyFont="1" applyBorder="1" applyAlignment="1">
      <alignment horizontal="center" wrapText="1"/>
    </xf>
    <xf numFmtId="203" fontId="100" fillId="0" borderId="0" xfId="5" applyNumberFormat="1" applyFont="1" applyFill="1" applyBorder="1" applyProtection="1">
      <protection locked="0"/>
    </xf>
    <xf numFmtId="203" fontId="87" fillId="0" borderId="0" xfId="5" applyNumberFormat="1" applyFont="1" applyFill="1" applyBorder="1"/>
    <xf numFmtId="203" fontId="88" fillId="0" borderId="0" xfId="5" applyNumberFormat="1" applyFont="1" applyFill="1" applyBorder="1" applyProtection="1">
      <protection locked="0"/>
    </xf>
    <xf numFmtId="43" fontId="87" fillId="0" borderId="6" xfId="0" applyNumberFormat="1" applyFont="1" applyBorder="1"/>
    <xf numFmtId="10" fontId="87" fillId="0" borderId="6" xfId="23" applyNumberFormat="1" applyFont="1" applyBorder="1"/>
    <xf numFmtId="38" fontId="87" fillId="0" borderId="24" xfId="0" applyNumberFormat="1" applyFont="1" applyBorder="1"/>
    <xf numFmtId="41" fontId="100" fillId="0" borderId="6" xfId="0" applyNumberFormat="1" applyFont="1" applyBorder="1"/>
    <xf numFmtId="0" fontId="100" fillId="0" borderId="6" xfId="0" applyFont="1" applyBorder="1" applyAlignment="1">
      <alignment horizontal="center"/>
    </xf>
    <xf numFmtId="171" fontId="88" fillId="0" borderId="10" xfId="23" applyNumberFormat="1" applyFont="1" applyBorder="1"/>
    <xf numFmtId="203" fontId="87" fillId="0" borderId="8" xfId="0" applyNumberFormat="1" applyFont="1" applyBorder="1"/>
    <xf numFmtId="206" fontId="87" fillId="0" borderId="10" xfId="3" applyNumberFormat="1" applyFont="1" applyBorder="1"/>
    <xf numFmtId="42" fontId="100" fillId="0" borderId="0" xfId="0" applyNumberFormat="1" applyFont="1" applyBorder="1"/>
    <xf numFmtId="43" fontId="100" fillId="0" borderId="0" xfId="0" applyNumberFormat="1" applyFont="1" applyBorder="1"/>
    <xf numFmtId="203" fontId="100" fillId="0" borderId="0" xfId="0" applyNumberFormat="1" applyFont="1" applyBorder="1"/>
    <xf numFmtId="41" fontId="77" fillId="0" borderId="0" xfId="6" applyNumberFormat="1" applyFont="1" applyFill="1" applyBorder="1"/>
    <xf numFmtId="41" fontId="77" fillId="0" borderId="8" xfId="6" applyNumberFormat="1" applyFont="1" applyFill="1" applyBorder="1"/>
    <xf numFmtId="41" fontId="77" fillId="0" borderId="4" xfId="5" applyNumberFormat="1" applyFont="1" applyFill="1" applyBorder="1"/>
    <xf numFmtId="0" fontId="87" fillId="4" borderId="22" xfId="0" applyFont="1" applyFill="1" applyBorder="1" applyAlignment="1">
      <alignment horizontal="right"/>
    </xf>
    <xf numFmtId="5" fontId="87" fillId="4" borderId="22" xfId="5" applyNumberFormat="1" applyFont="1" applyFill="1" applyBorder="1" applyAlignment="1">
      <alignment horizontal="center"/>
    </xf>
    <xf numFmtId="5" fontId="87" fillId="4" borderId="21" xfId="5" applyNumberFormat="1" applyFont="1" applyFill="1" applyBorder="1" applyAlignment="1">
      <alignment horizontal="center"/>
    </xf>
    <xf numFmtId="5" fontId="87" fillId="0" borderId="0" xfId="5" applyNumberFormat="1" applyFont="1" applyBorder="1" applyAlignment="1">
      <alignment horizontal="center"/>
    </xf>
    <xf numFmtId="10" fontId="87" fillId="0" borderId="8" xfId="23" applyNumberFormat="1" applyFont="1" applyBorder="1"/>
    <xf numFmtId="9" fontId="1" fillId="0" borderId="0" xfId="0" applyNumberFormat="1" applyFont="1"/>
    <xf numFmtId="0" fontId="1" fillId="0" borderId="0" xfId="0" applyFont="1"/>
    <xf numFmtId="0" fontId="134" fillId="0" borderId="0" xfId="0" applyFont="1"/>
    <xf numFmtId="38" fontId="0" fillId="0" borderId="0" xfId="0" applyNumberFormat="1"/>
    <xf numFmtId="0" fontId="135" fillId="0" borderId="0" xfId="0" applyFont="1"/>
    <xf numFmtId="190" fontId="0" fillId="0" borderId="0" xfId="0" applyNumberFormat="1"/>
    <xf numFmtId="172" fontId="88" fillId="0" borderId="8" xfId="0" applyNumberFormat="1" applyFont="1" applyFill="1" applyBorder="1" applyProtection="1">
      <protection locked="0"/>
    </xf>
    <xf numFmtId="0" fontId="90" fillId="0" borderId="8" xfId="0" applyFont="1" applyBorder="1" applyAlignment="1">
      <alignment horizontal="center"/>
    </xf>
    <xf numFmtId="38" fontId="89" fillId="0" borderId="8" xfId="0" applyNumberFormat="1" applyFont="1" applyBorder="1"/>
    <xf numFmtId="38" fontId="90" fillId="0" borderId="8" xfId="0" applyNumberFormat="1" applyFont="1" applyBorder="1"/>
    <xf numFmtId="206" fontId="87" fillId="0" borderId="8" xfId="0" applyNumberFormat="1" applyFont="1" applyBorder="1"/>
    <xf numFmtId="206" fontId="90" fillId="0" borderId="8" xfId="0" applyNumberFormat="1" applyFont="1" applyBorder="1"/>
    <xf numFmtId="38" fontId="38" fillId="0" borderId="21" xfId="0" applyNumberFormat="1" applyFont="1" applyBorder="1"/>
    <xf numFmtId="10" fontId="38" fillId="0" borderId="8" xfId="0" applyNumberFormat="1" applyFont="1" applyBorder="1"/>
    <xf numFmtId="37" fontId="76" fillId="0" borderId="0" xfId="0" applyNumberFormat="1" applyFont="1"/>
    <xf numFmtId="37" fontId="136" fillId="0" borderId="0" xfId="21" applyFont="1" applyAlignment="1">
      <alignment horizontal="left"/>
    </xf>
    <xf numFmtId="37" fontId="136" fillId="0" borderId="0" xfId="21" applyFont="1" applyFill="1" applyAlignment="1"/>
    <xf numFmtId="37" fontId="137" fillId="0" borderId="0" xfId="21" applyFont="1" applyFill="1" applyAlignment="1"/>
    <xf numFmtId="203" fontId="38" fillId="0" borderId="0" xfId="5" applyNumberFormat="1" applyFont="1"/>
    <xf numFmtId="203" fontId="137" fillId="0" borderId="0" xfId="5" applyNumberFormat="1" applyFont="1"/>
    <xf numFmtId="203" fontId="137" fillId="0" borderId="3" xfId="5" applyNumberFormat="1" applyFont="1" applyFill="1" applyBorder="1"/>
    <xf numFmtId="203" fontId="137" fillId="0" borderId="0" xfId="5" applyNumberFormat="1" applyFont="1" applyFill="1"/>
    <xf numFmtId="10" fontId="137" fillId="0" borderId="0" xfId="23" applyNumberFormat="1" applyFont="1"/>
    <xf numFmtId="203" fontId="137" fillId="8" borderId="0" xfId="5" applyNumberFormat="1" applyFont="1" applyFill="1"/>
    <xf numFmtId="203" fontId="136" fillId="0" borderId="0" xfId="5" applyNumberFormat="1" applyFont="1" applyFill="1"/>
    <xf numFmtId="43" fontId="137" fillId="0" borderId="0" xfId="3" applyNumberFormat="1" applyFont="1" applyFill="1"/>
    <xf numFmtId="10" fontId="137" fillId="0" borderId="0" xfId="23" applyNumberFormat="1" applyFont="1" applyFill="1"/>
    <xf numFmtId="0" fontId="38" fillId="0" borderId="0" xfId="0" applyFont="1" applyAlignment="1">
      <alignment horizontal="right"/>
    </xf>
    <xf numFmtId="9" fontId="38" fillId="0" borderId="0" xfId="23" applyFont="1"/>
    <xf numFmtId="10" fontId="119" fillId="0" borderId="0" xfId="23" applyNumberFormat="1" applyFont="1"/>
    <xf numFmtId="43" fontId="137" fillId="0" borderId="0" xfId="3" applyFont="1" applyFill="1"/>
    <xf numFmtId="0" fontId="137" fillId="0" borderId="0" xfId="3" applyNumberFormat="1" applyFont="1" applyFill="1"/>
    <xf numFmtId="203" fontId="88" fillId="0" borderId="0" xfId="5" applyNumberFormat="1" applyFont="1" applyFill="1" applyBorder="1" applyProtection="1"/>
    <xf numFmtId="203" fontId="88" fillId="0" borderId="0" xfId="5" applyNumberFormat="1" applyFont="1" applyBorder="1" applyProtection="1"/>
    <xf numFmtId="0" fontId="79" fillId="0" borderId="0" xfId="0" applyFont="1"/>
    <xf numFmtId="0" fontId="96" fillId="0" borderId="0" xfId="0" applyFont="1" applyFill="1" applyBorder="1" applyAlignment="1">
      <alignment horizontal="center" wrapText="1"/>
    </xf>
    <xf numFmtId="203" fontId="98" fillId="0" borderId="0" xfId="5" applyNumberFormat="1" applyFont="1" applyFill="1" applyBorder="1" applyProtection="1">
      <protection locked="0"/>
    </xf>
    <xf numFmtId="203" fontId="100" fillId="0" borderId="4" xfId="5" applyNumberFormat="1" applyFont="1" applyFill="1" applyBorder="1" applyProtection="1">
      <protection locked="0"/>
    </xf>
    <xf numFmtId="0" fontId="112" fillId="0" borderId="7" xfId="0" applyFont="1" applyBorder="1"/>
    <xf numFmtId="5" fontId="113" fillId="0" borderId="8" xfId="0" applyNumberFormat="1" applyFont="1" applyBorder="1"/>
    <xf numFmtId="43" fontId="66" fillId="0" borderId="8" xfId="3" applyFont="1" applyFill="1" applyBorder="1" applyAlignment="1">
      <alignment horizontal="right"/>
    </xf>
    <xf numFmtId="275" fontId="78" fillId="0" borderId="8" xfId="4" applyNumberFormat="1" applyFont="1" applyFill="1" applyBorder="1"/>
    <xf numFmtId="43" fontId="66" fillId="0" borderId="8" xfId="3" applyNumberFormat="1" applyFont="1" applyBorder="1"/>
    <xf numFmtId="41" fontId="87" fillId="0" borderId="0" xfId="0" applyNumberFormat="1" applyFont="1" applyBorder="1"/>
    <xf numFmtId="171" fontId="88" fillId="0" borderId="0" xfId="0" applyNumberFormat="1" applyFont="1" applyBorder="1"/>
    <xf numFmtId="172" fontId="94" fillId="0" borderId="8" xfId="0" applyNumberFormat="1" applyFont="1" applyFill="1" applyBorder="1" applyProtection="1">
      <protection locked="0"/>
    </xf>
    <xf numFmtId="171" fontId="108" fillId="8" borderId="0" xfId="23" applyNumberFormat="1" applyFont="1" applyFill="1" applyBorder="1"/>
    <xf numFmtId="171" fontId="108" fillId="8" borderId="8" xfId="23" applyNumberFormat="1" applyFont="1" applyFill="1" applyBorder="1"/>
    <xf numFmtId="275" fontId="88" fillId="0" borderId="0" xfId="0" applyNumberFormat="1" applyFont="1" applyBorder="1"/>
    <xf numFmtId="203" fontId="88" fillId="14" borderId="0" xfId="5" applyNumberFormat="1" applyFont="1" applyFill="1" applyBorder="1"/>
    <xf numFmtId="2" fontId="88" fillId="0" borderId="4" xfId="0" applyNumberFormat="1" applyFont="1" applyBorder="1"/>
    <xf numFmtId="203" fontId="99" fillId="0" borderId="10" xfId="5" applyNumberFormat="1" applyFont="1" applyBorder="1"/>
    <xf numFmtId="42" fontId="87" fillId="0" borderId="0" xfId="0" applyNumberFormat="1" applyFont="1" applyBorder="1" applyAlignment="1">
      <alignment horizontal="right"/>
    </xf>
    <xf numFmtId="42" fontId="88" fillId="0" borderId="4" xfId="0" applyNumberFormat="1" applyFont="1" applyBorder="1" applyAlignment="1">
      <alignment horizontal="right"/>
    </xf>
    <xf numFmtId="9" fontId="88" fillId="0" borderId="10" xfId="23" applyFont="1" applyBorder="1" applyAlignment="1">
      <alignment horizontal="left"/>
    </xf>
    <xf numFmtId="0" fontId="88" fillId="0" borderId="0" xfId="0" applyFont="1" applyBorder="1"/>
    <xf numFmtId="0" fontId="1" fillId="0" borderId="20" xfId="0" applyFont="1" applyBorder="1"/>
    <xf numFmtId="0" fontId="0" fillId="0" borderId="22" xfId="0" applyBorder="1"/>
    <xf numFmtId="0" fontId="0" fillId="0" borderId="21" xfId="0" applyBorder="1"/>
    <xf numFmtId="0" fontId="1" fillId="0" borderId="0" xfId="0" applyFont="1" applyBorder="1"/>
    <xf numFmtId="0" fontId="1" fillId="0" borderId="8" xfId="0" applyFont="1" applyBorder="1"/>
    <xf numFmtId="38" fontId="138" fillId="0" borderId="0" xfId="0" applyNumberFormat="1" applyFont="1" applyBorder="1"/>
    <xf numFmtId="38" fontId="0" fillId="0" borderId="8" xfId="0" applyNumberFormat="1" applyBorder="1"/>
    <xf numFmtId="0" fontId="1" fillId="0" borderId="4" xfId="0" applyFont="1" applyBorder="1"/>
    <xf numFmtId="38" fontId="1" fillId="0" borderId="4" xfId="0" applyNumberFormat="1" applyFont="1" applyBorder="1"/>
    <xf numFmtId="38" fontId="1" fillId="0" borderId="10" xfId="0" applyNumberFormat="1" applyFont="1" applyBorder="1"/>
    <xf numFmtId="37" fontId="66" fillId="0" borderId="0" xfId="21" applyFont="1" applyBorder="1" applyAlignment="1">
      <alignment horizontal="left"/>
    </xf>
    <xf numFmtId="2" fontId="38" fillId="0" borderId="0" xfId="3" applyNumberFormat="1" applyFont="1" applyFill="1" applyBorder="1"/>
    <xf numFmtId="206" fontId="78" fillId="0" borderId="0" xfId="6" applyNumberFormat="1" applyFont="1" applyFill="1" applyBorder="1"/>
    <xf numFmtId="206" fontId="78" fillId="0" borderId="8" xfId="6" applyNumberFormat="1" applyFont="1" applyFill="1" applyBorder="1"/>
    <xf numFmtId="206" fontId="139" fillId="15" borderId="8" xfId="3" applyNumberFormat="1" applyFont="1" applyFill="1" applyBorder="1"/>
    <xf numFmtId="41" fontId="66" fillId="0" borderId="10" xfId="6" applyNumberFormat="1" applyFont="1" applyFill="1" applyBorder="1"/>
    <xf numFmtId="206" fontId="88" fillId="0" borderId="8" xfId="3" applyNumberFormat="1" applyFont="1" applyBorder="1"/>
    <xf numFmtId="206" fontId="118" fillId="0" borderId="8" xfId="3" applyNumberFormat="1" applyFont="1" applyBorder="1"/>
    <xf numFmtId="205" fontId="88" fillId="0" borderId="8" xfId="3" applyNumberFormat="1" applyFont="1" applyFill="1" applyBorder="1"/>
    <xf numFmtId="206" fontId="100" fillId="15" borderId="8" xfId="3" applyNumberFormat="1" applyFont="1" applyFill="1" applyBorder="1" applyProtection="1"/>
    <xf numFmtId="206" fontId="100" fillId="15" borderId="8" xfId="3" applyNumberFormat="1" applyFont="1" applyFill="1" applyBorder="1"/>
    <xf numFmtId="0" fontId="5" fillId="0" borderId="7" xfId="0" applyFont="1" applyBorder="1"/>
    <xf numFmtId="203" fontId="130" fillId="0" borderId="0" xfId="5" applyNumberFormat="1" applyFont="1" applyFill="1" applyBorder="1"/>
    <xf numFmtId="0" fontId="77" fillId="0" borderId="0" xfId="0" applyFont="1" applyAlignment="1">
      <alignment horizontal="left"/>
    </xf>
    <xf numFmtId="206" fontId="133" fillId="0" borderId="8" xfId="3" applyNumberFormat="1" applyFont="1" applyBorder="1" applyAlignment="1">
      <alignment horizontal="center"/>
    </xf>
    <xf numFmtId="0" fontId="124" fillId="2" borderId="0" xfId="0" applyFont="1" applyFill="1" applyAlignment="1">
      <alignment horizontal="center"/>
    </xf>
    <xf numFmtId="0" fontId="91" fillId="0" borderId="0" xfId="0" applyFont="1" applyAlignment="1">
      <alignment horizontal="center"/>
    </xf>
    <xf numFmtId="0" fontId="66"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333375</xdr:colOff>
          <xdr:row>1</xdr:row>
          <xdr:rowOff>9525</xdr:rowOff>
        </xdr:from>
        <xdr:to>
          <xdr:col>0</xdr:col>
          <xdr:colOff>1819275</xdr:colOff>
          <xdr:row>3</xdr:row>
          <xdr:rowOff>85725</xdr:rowOff>
        </xdr:to>
        <xdr:sp macro="" textlink="">
          <xdr:nvSpPr>
            <xdr:cNvPr id="10742" name="Button 502" hidden="1">
              <a:extLst>
                <a:ext uri="{63B3BB69-23CF-44E3-9099-C40C66FF867C}">
                  <a14:compatExt spid="_x0000_s10742"/>
                </a:ext>
                <a:ext uri="{FF2B5EF4-FFF2-40B4-BE49-F238E27FC236}">
                  <a16:creationId xmlns:a16="http://schemas.microsoft.com/office/drawing/2014/main" id="{52521FCE-553A-4444-1FD8-4157B950A4DF}"/>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1981200</xdr:colOff>
          <xdr:row>2</xdr:row>
          <xdr:rowOff>9525</xdr:rowOff>
        </xdr:from>
        <xdr:to>
          <xdr:col>1</xdr:col>
          <xdr:colOff>257175</xdr:colOff>
          <xdr:row>3</xdr:row>
          <xdr:rowOff>85725</xdr:rowOff>
        </xdr:to>
        <xdr:sp macro="" textlink="">
          <xdr:nvSpPr>
            <xdr:cNvPr id="10761" name="Button 521" hidden="1">
              <a:extLst>
                <a:ext uri="{63B3BB69-23CF-44E3-9099-C40C66FF867C}">
                  <a14:compatExt spid="_x0000_s10761"/>
                </a:ext>
                <a:ext uri="{FF2B5EF4-FFF2-40B4-BE49-F238E27FC236}">
                  <a16:creationId xmlns:a16="http://schemas.microsoft.com/office/drawing/2014/main" id="{B6874A45-B3C4-64BE-C1FF-4FC7DAC85F5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Control\Brownsvil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sheetData sheetId="2"/>
      <sheetData sheetId="3">
        <row r="11">
          <cell r="F11">
            <v>0.02</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sheetData>
      <sheetData sheetId="14"/>
      <sheetData sheetId="15">
        <row r="19">
          <cell r="F19">
            <v>193.00356556317828</v>
          </cell>
          <cell r="G19">
            <v>327.21566583981007</v>
          </cell>
          <cell r="H19">
            <v>326.29913551627209</v>
          </cell>
          <cell r="I19">
            <v>450.6998472452384</v>
          </cell>
          <cell r="J19">
            <v>546.35274843656214</v>
          </cell>
          <cell r="K19">
            <v>563.47047300661393</v>
          </cell>
          <cell r="L19">
            <v>560.30734302231383</v>
          </cell>
          <cell r="M19">
            <v>566.87224149350266</v>
          </cell>
          <cell r="N19">
            <v>573.32117114483719</v>
          </cell>
          <cell r="O19">
            <v>580.16644809556783</v>
          </cell>
          <cell r="P19">
            <v>586.53574305019345</v>
          </cell>
          <cell r="Q19">
            <v>592.63698355927909</v>
          </cell>
          <cell r="R19">
            <v>598.56482266624448</v>
          </cell>
          <cell r="S19">
            <v>604.83046282830412</v>
          </cell>
          <cell r="T19">
            <v>610.3195266603791</v>
          </cell>
          <cell r="U19">
            <v>615.59224011905906</v>
          </cell>
          <cell r="V19">
            <v>620.67632702454205</v>
          </cell>
          <cell r="W19">
            <v>626.21447782025734</v>
          </cell>
          <cell r="X19">
            <v>630.74618881978438</v>
          </cell>
          <cell r="Y19">
            <v>620.2249983832462</v>
          </cell>
          <cell r="Z19">
            <v>622.77883372874521</v>
          </cell>
        </row>
        <row r="39">
          <cell r="F39">
            <v>15633.288810617441</v>
          </cell>
          <cell r="G39">
            <v>26504.468933024611</v>
          </cell>
          <cell r="H39">
            <v>26430.229976818035</v>
          </cell>
          <cell r="I39">
            <v>36506.68762686431</v>
          </cell>
          <cell r="J39">
            <v>44254.572623361528</v>
          </cell>
          <cell r="K39">
            <v>45641.108313535726</v>
          </cell>
          <cell r="L39">
            <v>45384.894784807417</v>
          </cell>
          <cell r="M39">
            <v>45916.651560973711</v>
          </cell>
          <cell r="N39">
            <v>46439.014862731812</v>
          </cell>
          <cell r="O39">
            <v>46993.482295740992</v>
          </cell>
          <cell r="P39">
            <v>47509.395187065667</v>
          </cell>
          <cell r="Q39">
            <v>48003.595668301605</v>
          </cell>
          <cell r="R39">
            <v>48483.7506359658</v>
          </cell>
          <cell r="S39">
            <v>48991.267489092636</v>
          </cell>
          <cell r="T39">
            <v>49435.881659490697</v>
          </cell>
          <cell r="U39">
            <v>49862.971449643781</v>
          </cell>
          <cell r="V39">
            <v>50274.782488987905</v>
          </cell>
          <cell r="W39">
            <v>50723.372703440837</v>
          </cell>
          <cell r="X39">
            <v>51090.441294402532</v>
          </cell>
          <cell r="Y39">
            <v>50238.224869042941</v>
          </cell>
          <cell r="Z39">
            <v>50445.085532028359</v>
          </cell>
        </row>
      </sheetData>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768"/>
  <sheetViews>
    <sheetView topLeftCell="A740" zoomScale="95" zoomScaleNormal="95" zoomScaleSheetLayoutView="85" workbookViewId="0">
      <selection activeCell="A760" sqref="A760"/>
    </sheetView>
  </sheetViews>
  <sheetFormatPr defaultColWidth="9.28515625" defaultRowHeight="11.25"/>
  <cols>
    <col min="1" max="1" width="38" style="34" customWidth="1"/>
    <col min="2" max="2" width="10.140625" style="220" customWidth="1"/>
    <col min="3" max="3" width="10.28515625" style="34" customWidth="1"/>
    <col min="4" max="4" width="10.28515625" style="250" customWidth="1"/>
    <col min="5" max="19" width="10.28515625" style="34" customWidth="1"/>
    <col min="20" max="25" width="9.28515625" style="34" customWidth="1"/>
    <col min="26" max="16384" width="9.28515625" style="4"/>
  </cols>
  <sheetData>
    <row r="1" spans="1:25" ht="18.75">
      <c r="A1" s="249" t="str">
        <f>'PPA Assumptions &amp;Summary'!A1</f>
        <v>WILTON CENTER, Will County, IL</v>
      </c>
    </row>
    <row r="2" spans="1:25" ht="19.5">
      <c r="A2" s="251" t="s">
        <v>304</v>
      </c>
      <c r="B2" s="252"/>
    </row>
    <row r="3" spans="1:25" ht="40.5" customHeight="1">
      <c r="A3" s="253" t="s">
        <v>305</v>
      </c>
      <c r="B3" s="252"/>
    </row>
    <row r="4" spans="1:25">
      <c r="A4" s="254" t="s">
        <v>379</v>
      </c>
      <c r="B4" s="255">
        <f>'Project Assumptions'!I68</f>
        <v>36647.89551516444</v>
      </c>
      <c r="C4" s="256"/>
      <c r="D4" s="256"/>
      <c r="E4" s="256"/>
      <c r="F4" s="256"/>
      <c r="G4" s="256"/>
      <c r="H4" s="256"/>
      <c r="I4" s="256"/>
      <c r="J4" s="256"/>
      <c r="K4" s="256"/>
      <c r="L4" s="256"/>
      <c r="M4" s="256"/>
      <c r="N4" s="256"/>
      <c r="O4" s="256"/>
      <c r="P4" s="256"/>
      <c r="Q4" s="256"/>
      <c r="R4" s="256"/>
      <c r="S4" s="256"/>
      <c r="T4" s="256"/>
      <c r="U4" s="256"/>
      <c r="V4" s="256"/>
    </row>
    <row r="5" spans="1:25">
      <c r="A5" s="257" t="s">
        <v>380</v>
      </c>
      <c r="B5" s="258">
        <f>'Project Assumptions'!G68</f>
        <v>78518.858230403886</v>
      </c>
      <c r="C5" s="256"/>
      <c r="D5" s="256"/>
      <c r="E5" s="256"/>
      <c r="F5" s="256"/>
      <c r="G5" s="256"/>
      <c r="H5" s="256"/>
      <c r="I5" s="256"/>
      <c r="J5" s="256"/>
      <c r="K5" s="256"/>
      <c r="L5" s="256"/>
      <c r="M5" s="256"/>
      <c r="N5" s="256"/>
      <c r="O5" s="256"/>
      <c r="P5" s="256"/>
      <c r="Q5" s="256"/>
      <c r="R5" s="256"/>
      <c r="S5" s="256"/>
      <c r="T5" s="256"/>
      <c r="U5" s="256"/>
      <c r="V5" s="256"/>
    </row>
    <row r="6" spans="1:25">
      <c r="A6" s="259" t="s">
        <v>383</v>
      </c>
      <c r="B6" s="304" t="s">
        <v>483</v>
      </c>
      <c r="C6" s="304" t="s">
        <v>484</v>
      </c>
      <c r="D6" s="306">
        <f>'PPA Assumptions &amp;Summary'!C4</f>
        <v>2000</v>
      </c>
      <c r="E6" s="307">
        <f>'PPA Assumptions &amp;Summary'!D4</f>
        <v>2001</v>
      </c>
      <c r="F6" s="307">
        <f>'PPA Assumptions &amp;Summary'!E4</f>
        <v>2002</v>
      </c>
      <c r="G6" s="307">
        <f>'PPA Assumptions &amp;Summary'!F4</f>
        <v>2003</v>
      </c>
      <c r="H6" s="307">
        <f>'PPA Assumptions &amp;Summary'!G4</f>
        <v>2004</v>
      </c>
      <c r="I6" s="307">
        <f>'PPA Assumptions &amp;Summary'!H4</f>
        <v>2005</v>
      </c>
      <c r="J6" s="307">
        <f>'PPA Assumptions &amp;Summary'!I4</f>
        <v>2006</v>
      </c>
      <c r="K6" s="307">
        <f>'PPA Assumptions &amp;Summary'!J4</f>
        <v>2007</v>
      </c>
      <c r="L6" s="307">
        <f>'PPA Assumptions &amp;Summary'!K4</f>
        <v>2008</v>
      </c>
      <c r="M6" s="307">
        <f>'PPA Assumptions &amp;Summary'!L4</f>
        <v>2009</v>
      </c>
      <c r="N6" s="308">
        <f>'PPA Assumptions &amp;Summary'!M4</f>
        <v>2010</v>
      </c>
      <c r="O6" s="256">
        <f>'PPA Assumptions &amp;Summary'!N4</f>
        <v>2011</v>
      </c>
      <c r="P6" s="256">
        <f>'PPA Assumptions &amp;Summary'!O4</f>
        <v>2012</v>
      </c>
      <c r="Q6" s="256">
        <f>'PPA Assumptions &amp;Summary'!P4</f>
        <v>2013</v>
      </c>
      <c r="R6" s="256">
        <f>'PPA Assumptions &amp;Summary'!Q4</f>
        <v>2014</v>
      </c>
      <c r="S6" s="256">
        <f>'PPA Assumptions &amp;Summary'!R4</f>
        <v>2015</v>
      </c>
      <c r="T6" s="256">
        <f>'PPA Assumptions &amp;Summary'!S4</f>
        <v>2016</v>
      </c>
      <c r="U6" s="256">
        <f>'PPA Assumptions &amp;Summary'!T4</f>
        <v>2017</v>
      </c>
      <c r="V6" s="256">
        <f>'PPA Assumptions &amp;Summary'!U4</f>
        <v>2018</v>
      </c>
      <c r="W6" s="256">
        <f>'PPA Assumptions &amp;Summary'!V4</f>
        <v>2019</v>
      </c>
      <c r="X6" s="256">
        <f>'PPA Assumptions &amp;Summary'!W4</f>
        <v>2020</v>
      </c>
      <c r="Y6" s="256">
        <f>'PPA Assumptions &amp;Summary'!X4</f>
        <v>2021</v>
      </c>
    </row>
    <row r="7" spans="1:25">
      <c r="A7" s="259" t="s">
        <v>381</v>
      </c>
      <c r="B7" s="305">
        <f>NPV(0.1,D7:Y7)</f>
        <v>587133.4111321813</v>
      </c>
      <c r="C7" s="305">
        <v>0</v>
      </c>
      <c r="D7" s="309">
        <f>'Book Income Statement'!D18</f>
        <v>41364.1276</v>
      </c>
      <c r="E7" s="310">
        <f>'Book Income Statement'!E18</f>
        <v>53599.168868000001</v>
      </c>
      <c r="F7" s="310">
        <f>'Book Income Statement'!F18</f>
        <v>53676.461374039995</v>
      </c>
      <c r="G7" s="310">
        <f>'Book Income Statement'!G18</f>
        <v>65143.101439719816</v>
      </c>
      <c r="H7" s="310">
        <f>'Book Income Statement'!H18</f>
        <v>73806.689285054352</v>
      </c>
      <c r="I7" s="310">
        <f>'Book Income Statement'!I18</f>
        <v>75317.217318825977</v>
      </c>
      <c r="J7" s="310">
        <f>'Book Income Statement'!J18</f>
        <v>75252.785341236653</v>
      </c>
      <c r="K7" s="310">
        <f>'Book Income Statement'!K18</f>
        <v>75972.254192721084</v>
      </c>
      <c r="L7" s="310">
        <f>'Book Income Statement'!L18</f>
        <v>76688.273847830875</v>
      </c>
      <c r="M7" s="310">
        <f>'Book Income Statement'!M18</f>
        <v>77399.989832817198</v>
      </c>
      <c r="N7" s="311">
        <f>'Book Income Statement'!N18</f>
        <v>78106.499509783054</v>
      </c>
      <c r="O7" s="31">
        <f>'Book Income Statement'!O18</f>
        <v>78806.849955860729</v>
      </c>
      <c r="P7" s="31">
        <f>'Book Income Statement'!P18</f>
        <v>79500.035758487647</v>
      </c>
      <c r="Q7" s="31">
        <f>'Book Income Statement'!Q18</f>
        <v>80184.996723655335</v>
      </c>
      <c r="R7" s="31">
        <f>'Book Income Statement'!R18</f>
        <v>80860.615493893827</v>
      </c>
      <c r="S7" s="31">
        <f>'Book Income Statement'!S18</f>
        <v>81525.715072638748</v>
      </c>
      <c r="T7" s="31">
        <f>'Book Income Statement'!T18</f>
        <v>82179.056251507223</v>
      </c>
      <c r="U7" s="31">
        <f>'Book Income Statement'!U18</f>
        <v>82819.334936885876</v>
      </c>
      <c r="V7" s="31">
        <f>'Book Income Statement'!V18</f>
        <v>83445.179372104292</v>
      </c>
      <c r="W7" s="31">
        <f>'Book Income Statement'!W18</f>
        <v>82865.432394184551</v>
      </c>
      <c r="X7" s="31">
        <f>'Book Income Statement'!X18</f>
        <v>35526.302372602433</v>
      </c>
      <c r="Y7" s="31">
        <f>'Book Income Statement'!Y18</f>
        <v>0</v>
      </c>
    </row>
    <row r="8" spans="1:25">
      <c r="A8" s="260" t="s">
        <v>382</v>
      </c>
      <c r="B8" s="305">
        <f>NPV(0.1,D8:Y8)</f>
        <v>254857.05069090237</v>
      </c>
      <c r="C8" s="305">
        <v>0</v>
      </c>
      <c r="D8" s="309">
        <f>'Book Income Statement'!D62</f>
        <v>26210.086189737056</v>
      </c>
      <c r="E8" s="310">
        <f>'Book Income Statement'!E62</f>
        <v>27281.294114783763</v>
      </c>
      <c r="F8" s="310">
        <f>'Book Income Statement'!F62</f>
        <v>27431.909046706816</v>
      </c>
      <c r="G8" s="310">
        <f>'Book Income Statement'!G62</f>
        <v>28988.868818051742</v>
      </c>
      <c r="H8" s="310">
        <f>'Book Income Statement'!H62</f>
        <v>29966.293266439301</v>
      </c>
      <c r="I8" s="310">
        <f>'Book Income Statement'!I62</f>
        <v>30107.433664650143</v>
      </c>
      <c r="J8" s="310">
        <f>'Book Income Statement'!J62</f>
        <v>30296.052085804833</v>
      </c>
      <c r="K8" s="310">
        <f>'Book Income Statement'!K62</f>
        <v>30490.329059594165</v>
      </c>
      <c r="L8" s="310">
        <f>'Book Income Statement'!L62</f>
        <v>30690.434342597182</v>
      </c>
      <c r="M8" s="310">
        <f>'Book Income Statement'!M62</f>
        <v>30854.558501568412</v>
      </c>
      <c r="N8" s="311">
        <f>'Book Income Statement'!N62</f>
        <v>31066.850196306306</v>
      </c>
      <c r="O8" s="31">
        <f>'Book Income Statement'!O62</f>
        <v>31285.51064188634</v>
      </c>
      <c r="P8" s="31">
        <f>'Book Income Statement'!P62</f>
        <v>31510.730900833772</v>
      </c>
      <c r="Q8" s="31">
        <f>'Book Income Statement'!Q62</f>
        <v>31700.72348502776</v>
      </c>
      <c r="R8" s="31">
        <f>'Book Income Statement'!R62</f>
        <v>31939.659657745091</v>
      </c>
      <c r="S8" s="31">
        <f>'Book Income Statement'!S62</f>
        <v>32185.763915643944</v>
      </c>
      <c r="T8" s="31">
        <f>'Book Income Statement'!T62</f>
        <v>32439.251301279761</v>
      </c>
      <c r="U8" s="31">
        <f>'Book Income Statement'!U62</f>
        <v>32658.359025962785</v>
      </c>
      <c r="V8" s="31">
        <f>'Book Income Statement'!V62</f>
        <v>32927.283793383831</v>
      </c>
      <c r="W8" s="31">
        <f>'Book Income Statement'!W62</f>
        <v>33204.276303827501</v>
      </c>
      <c r="X8" s="31">
        <f>'Book Income Statement'!X62</f>
        <v>16244.427660036063</v>
      </c>
      <c r="Y8" s="31">
        <f>'Book Income Statement'!Y62</f>
        <v>0</v>
      </c>
    </row>
    <row r="9" spans="1:25">
      <c r="A9" s="260" t="s">
        <v>35</v>
      </c>
      <c r="B9" s="305">
        <f>NPV(0.1,D9:Y9)</f>
        <v>113129.25766680451</v>
      </c>
      <c r="C9" s="305">
        <v>0</v>
      </c>
      <c r="D9" s="309">
        <f>'Book Income Statement'!D77</f>
        <v>-2413.2120946962355</v>
      </c>
      <c r="E9" s="310">
        <f>'Book Income Statement'!E77</f>
        <v>3082.928209374325</v>
      </c>
      <c r="F9" s="310">
        <f>'Book Income Statement'!F77</f>
        <v>3338.3339487904495</v>
      </c>
      <c r="G9" s="310">
        <f>'Book Income Statement'!G77</f>
        <v>9816.3236786460348</v>
      </c>
      <c r="H9" s="310">
        <f>'Book Income Statement'!H77</f>
        <v>15060.280924539804</v>
      </c>
      <c r="I9" s="310">
        <f>'Book Income Statement'!I77</f>
        <v>16351.516127168547</v>
      </c>
      <c r="J9" s="310">
        <f>'Book Income Statement'!J77</f>
        <v>16620.59876831872</v>
      </c>
      <c r="K9" s="310">
        <f>'Book Income Statement'!K77</f>
        <v>17336.226600625603</v>
      </c>
      <c r="L9" s="310">
        <f>'Book Income Statement'!L77</f>
        <v>18046.187068017804</v>
      </c>
      <c r="M9" s="310">
        <f>'Book Income Statement'!M77</f>
        <v>19024.000185875841</v>
      </c>
      <c r="N9" s="311">
        <f>'Book Income Statement'!N77</f>
        <v>20142.226708014801</v>
      </c>
      <c r="O9" s="31">
        <f>'Book Income Statement'!O77</f>
        <v>20631.545759793677</v>
      </c>
      <c r="P9" s="31">
        <f>'Book Income Statement'!P77</f>
        <v>21161.248004940975</v>
      </c>
      <c r="Q9" s="31">
        <f>'Book Income Statement'!Q77</f>
        <v>21707.445517185803</v>
      </c>
      <c r="R9" s="31">
        <f>'Book Income Statement'!R77</f>
        <v>22218.037898178573</v>
      </c>
      <c r="S9" s="31">
        <f>'Book Income Statement'!S77</f>
        <v>22717.825623727011</v>
      </c>
      <c r="T9" s="31">
        <f>'Book Income Statement'!T77</f>
        <v>23205.920333197257</v>
      </c>
      <c r="U9" s="31">
        <f>'Book Income Statement'!U77</f>
        <v>23950.872468431808</v>
      </c>
      <c r="V9" s="31">
        <f>'Book Income Statement'!V77</f>
        <v>24754.109461179563</v>
      </c>
      <c r="W9" s="31">
        <f>'Book Income Statement'!W77</f>
        <v>24962.257736828742</v>
      </c>
      <c r="X9" s="31">
        <f>'Book Income Statement'!X77</f>
        <v>7233.4570235672263</v>
      </c>
      <c r="Y9" s="31">
        <f>'Book Income Statement'!Y77</f>
        <v>0</v>
      </c>
    </row>
    <row r="10" spans="1:25">
      <c r="A10" s="260" t="s">
        <v>32</v>
      </c>
      <c r="B10" s="305">
        <f>NPV(0.1,D10:Y10)</f>
        <v>124915.63932413071</v>
      </c>
      <c r="C10" s="305">
        <v>0</v>
      </c>
      <c r="D10" s="312">
        <f>'Cash Flow Statement'!D23</f>
        <v>-6468.4251510931717</v>
      </c>
      <c r="E10" s="313">
        <f>'Cash Flow Statement'!E23</f>
        <v>5559.0788126314401</v>
      </c>
      <c r="F10" s="313">
        <f>'Cash Flow Statement'!F23</f>
        <v>3261.9055814248422</v>
      </c>
      <c r="G10" s="313">
        <f>'Cash Flow Statement'!G23</f>
        <v>11278.464454438923</v>
      </c>
      <c r="H10" s="313">
        <f>'Cash Flow Statement'!H23</f>
        <v>25387.124318847738</v>
      </c>
      <c r="I10" s="313">
        <f>'Cash Flow Statement'!I23</f>
        <v>24618.69830835778</v>
      </c>
      <c r="J10" s="313">
        <f>'Cash Flow Statement'!J23</f>
        <v>18637.626109678939</v>
      </c>
      <c r="K10" s="313">
        <f>'Cash Flow Statement'!K23</f>
        <v>19363.215220335343</v>
      </c>
      <c r="L10" s="313">
        <f>'Cash Flow Statement'!L23</f>
        <v>14622.214409378026</v>
      </c>
      <c r="M10" s="313">
        <f>'Cash Flow Statement'!M23</f>
        <v>11859.364523063712</v>
      </c>
      <c r="N10" s="314">
        <f>'Cash Flow Statement'!N23</f>
        <v>26612.114049375021</v>
      </c>
      <c r="O10" s="31">
        <f>'Cash Flow Statement'!O23</f>
        <v>26123.254379503418</v>
      </c>
      <c r="P10" s="31">
        <f>'Cash Flow Statement'!P23</f>
        <v>26642.995346301192</v>
      </c>
      <c r="Q10" s="31">
        <f>'Cash Flow Statement'!Q23</f>
        <v>27157.169854373667</v>
      </c>
      <c r="R10" s="31">
        <f>'Cash Flow Statement'!R23</f>
        <v>27699.785239538785</v>
      </c>
      <c r="S10" s="31">
        <f>'Cash Flow Statement'!S23</f>
        <v>25260.995851979424</v>
      </c>
      <c r="T10" s="31">
        <f>'Cash Flow Statement'!T23</f>
        <v>17869.813448341854</v>
      </c>
      <c r="U10" s="31">
        <f>'Cash Flow Statement'!U23</f>
        <v>16596.501301054534</v>
      </c>
      <c r="V10" s="31">
        <f>'Cash Flow Statement'!V23</f>
        <v>14477.302576324164</v>
      </c>
      <c r="W10" s="31">
        <f>'Cash Flow Statement'!W23</f>
        <v>12709.17085197334</v>
      </c>
      <c r="X10" s="31">
        <f>'Cash Flow Statement'!X23</f>
        <v>11778.750138711828</v>
      </c>
      <c r="Y10" s="31">
        <f>'Cash Flow Statement'!Y23</f>
        <v>0</v>
      </c>
    </row>
    <row r="11" spans="1:25">
      <c r="A11" s="29"/>
      <c r="B11" s="252"/>
      <c r="D11" s="34"/>
      <c r="E11" s="250"/>
    </row>
    <row r="12" spans="1:25">
      <c r="A12" s="29" t="s">
        <v>384</v>
      </c>
      <c r="B12" s="252"/>
      <c r="D12" s="34"/>
      <c r="E12" s="250"/>
    </row>
    <row r="13" spans="1:25">
      <c r="D13" s="34"/>
      <c r="E13" s="250"/>
    </row>
    <row r="14" spans="1:25">
      <c r="A14" s="254" t="s">
        <v>379</v>
      </c>
      <c r="B14" s="255">
        <v>55212.344682028895</v>
      </c>
      <c r="D14" s="256"/>
      <c r="E14" s="256"/>
      <c r="F14" s="256"/>
      <c r="G14" s="256"/>
      <c r="H14" s="256"/>
      <c r="I14" s="256"/>
      <c r="J14" s="256"/>
      <c r="K14" s="256"/>
      <c r="L14" s="256"/>
      <c r="M14" s="256"/>
      <c r="N14" s="256"/>
      <c r="O14" s="256"/>
      <c r="P14" s="256"/>
      <c r="Q14" s="256"/>
      <c r="R14" s="256"/>
      <c r="S14" s="256"/>
      <c r="T14" s="256"/>
      <c r="U14" s="256"/>
      <c r="V14" s="256"/>
      <c r="W14" s="256"/>
    </row>
    <row r="15" spans="1:25">
      <c r="A15" s="996" t="s">
        <v>380</v>
      </c>
      <c r="B15" s="997">
        <v>92794.069397080239</v>
      </c>
      <c r="D15" s="256"/>
      <c r="E15" s="256"/>
      <c r="F15" s="256"/>
      <c r="G15" s="256"/>
      <c r="H15" s="256"/>
      <c r="I15" s="256"/>
      <c r="J15" s="256"/>
      <c r="K15" s="256"/>
      <c r="L15" s="256"/>
      <c r="M15" s="256"/>
      <c r="N15" s="256"/>
      <c r="O15" s="256"/>
      <c r="P15" s="256"/>
      <c r="Q15" s="256"/>
      <c r="R15" s="256"/>
      <c r="S15" s="256"/>
      <c r="T15" s="256"/>
      <c r="U15" s="256"/>
      <c r="V15" s="256"/>
      <c r="W15" s="256"/>
    </row>
    <row r="16" spans="1:25">
      <c r="A16" s="254" t="s">
        <v>383</v>
      </c>
      <c r="B16" s="304" t="s">
        <v>483</v>
      </c>
      <c r="C16" s="304" t="s">
        <v>484</v>
      </c>
      <c r="D16" s="307">
        <v>2000</v>
      </c>
      <c r="E16" s="307">
        <v>2001</v>
      </c>
      <c r="F16" s="307">
        <v>2002</v>
      </c>
      <c r="G16" s="307">
        <v>2003</v>
      </c>
      <c r="H16" s="307">
        <v>2004</v>
      </c>
      <c r="I16" s="307">
        <v>2005</v>
      </c>
      <c r="J16" s="307">
        <v>2006</v>
      </c>
      <c r="K16" s="307">
        <v>2007</v>
      </c>
      <c r="L16" s="307">
        <v>2008</v>
      </c>
      <c r="M16" s="307">
        <v>2009</v>
      </c>
      <c r="N16" s="308">
        <v>2010</v>
      </c>
      <c r="O16" s="256">
        <v>2011</v>
      </c>
      <c r="P16" s="256">
        <v>2012</v>
      </c>
      <c r="Q16" s="256">
        <v>2013</v>
      </c>
      <c r="R16" s="256">
        <v>2014</v>
      </c>
      <c r="S16" s="256">
        <v>2015</v>
      </c>
      <c r="T16" s="256">
        <v>2016</v>
      </c>
      <c r="U16" s="256">
        <v>2017</v>
      </c>
      <c r="V16" s="256">
        <v>2018</v>
      </c>
      <c r="W16" s="256">
        <v>2019</v>
      </c>
      <c r="X16" s="256">
        <v>2020</v>
      </c>
      <c r="Y16" s="256">
        <v>2021</v>
      </c>
    </row>
    <row r="17" spans="1:25">
      <c r="A17" s="996" t="s">
        <v>381</v>
      </c>
      <c r="B17" s="305">
        <f>NPV(0.1,D17:Y17)</f>
        <v>560779.2720304589</v>
      </c>
      <c r="C17" s="305">
        <f>B17-B7</f>
        <v>-26354.139101722394</v>
      </c>
      <c r="D17" s="310">
        <v>32832.330519950003</v>
      </c>
      <c r="E17" s="310">
        <v>45948.831511700009</v>
      </c>
      <c r="F17" s="310">
        <v>46302.639385400005</v>
      </c>
      <c r="G17" s="310">
        <v>58642.20151382943</v>
      </c>
      <c r="H17" s="310">
        <v>68535.883289146179</v>
      </c>
      <c r="I17" s="310">
        <v>69912.486379192036</v>
      </c>
      <c r="J17" s="310">
        <v>71068.04109758533</v>
      </c>
      <c r="K17" s="310">
        <v>72352.954964608216</v>
      </c>
      <c r="L17" s="310">
        <v>73764.111448257754</v>
      </c>
      <c r="M17" s="310">
        <v>75306.588420694563</v>
      </c>
      <c r="N17" s="311">
        <v>77015.385599071335</v>
      </c>
      <c r="O17" s="31">
        <v>79087.679995917104</v>
      </c>
      <c r="P17" s="31">
        <v>81341.414994061211</v>
      </c>
      <c r="Q17" s="31">
        <v>83693.543501098597</v>
      </c>
      <c r="R17" s="31">
        <v>86135.908901124392</v>
      </c>
      <c r="S17" s="31">
        <v>88626.595636491111</v>
      </c>
      <c r="T17" s="31">
        <v>90748.623840660861</v>
      </c>
      <c r="U17" s="31">
        <v>93097.482915289831</v>
      </c>
      <c r="V17" s="31">
        <v>95133.920756891792</v>
      </c>
      <c r="W17" s="31">
        <v>97164.542943064371</v>
      </c>
      <c r="X17" s="31">
        <v>23377.132224294623</v>
      </c>
      <c r="Y17" s="31">
        <v>0</v>
      </c>
    </row>
    <row r="18" spans="1:25">
      <c r="A18" s="996" t="s">
        <v>382</v>
      </c>
      <c r="B18" s="305">
        <f>NPV(0.1,D18:Y18)</f>
        <v>237600.45396660708</v>
      </c>
      <c r="C18" s="305">
        <f>B18-B8</f>
        <v>-17256.59672429529</v>
      </c>
      <c r="D18" s="310">
        <v>19632.005713283335</v>
      </c>
      <c r="E18" s="310">
        <v>23930.104804499999</v>
      </c>
      <c r="F18" s="310">
        <v>24352.579375584002</v>
      </c>
      <c r="G18" s="310">
        <v>24688.837349219517</v>
      </c>
      <c r="H18" s="310">
        <v>25110.555556320105</v>
      </c>
      <c r="I18" s="310">
        <v>25628.315250759711</v>
      </c>
      <c r="J18" s="310">
        <v>26236.215950306501</v>
      </c>
      <c r="K18" s="310">
        <v>26976.173249945696</v>
      </c>
      <c r="L18" s="310">
        <v>27851.425474663061</v>
      </c>
      <c r="M18" s="310">
        <v>28868.06955216296</v>
      </c>
      <c r="N18" s="311">
        <v>30056.790631396856</v>
      </c>
      <c r="O18" s="31">
        <v>31434.323565580758</v>
      </c>
      <c r="P18" s="31">
        <v>32990.148762382181</v>
      </c>
      <c r="Q18" s="31">
        <v>34641.95931975964</v>
      </c>
      <c r="R18" s="31">
        <v>36387.767829140437</v>
      </c>
      <c r="S18" s="31">
        <v>38186.48559482464</v>
      </c>
      <c r="T18" s="31">
        <v>40044.699295306382</v>
      </c>
      <c r="U18" s="31">
        <v>42156.747602605566</v>
      </c>
      <c r="V18" s="31">
        <v>43990.907104006743</v>
      </c>
      <c r="W18" s="31">
        <v>45888.344540803941</v>
      </c>
      <c r="X18" s="31">
        <v>0</v>
      </c>
      <c r="Y18" s="31">
        <v>0</v>
      </c>
    </row>
    <row r="19" spans="1:25">
      <c r="A19" s="996" t="s">
        <v>35</v>
      </c>
      <c r="B19" s="305">
        <f>NPV(0.1,D19:Y19)</f>
        <v>100299.36192338679</v>
      </c>
      <c r="C19" s="305">
        <f>B19-B9</f>
        <v>-12829.895743417714</v>
      </c>
      <c r="D19" s="310">
        <v>251.14572409079966</v>
      </c>
      <c r="E19" s="310">
        <v>98.629563573396808</v>
      </c>
      <c r="F19" s="310">
        <v>118.4659745783519</v>
      </c>
      <c r="G19" s="310">
        <v>7593.9003426364134</v>
      </c>
      <c r="H19" s="310">
        <v>13474.406945881392</v>
      </c>
      <c r="I19" s="310">
        <v>14372.685907723775</v>
      </c>
      <c r="J19" s="310">
        <v>15066.303466586814</v>
      </c>
      <c r="K19" s="310">
        <v>15645.762548440207</v>
      </c>
      <c r="L19" s="310">
        <v>16280.521131169107</v>
      </c>
      <c r="M19" s="310">
        <v>16943.511391663054</v>
      </c>
      <c r="N19" s="311">
        <v>17639.948886443533</v>
      </c>
      <c r="O19" s="31">
        <v>18451.89595590677</v>
      </c>
      <c r="P19" s="31">
        <v>19344.69875454055</v>
      </c>
      <c r="Q19" s="31">
        <v>20289.237033118705</v>
      </c>
      <c r="R19" s="31">
        <v>21285.747117453822</v>
      </c>
      <c r="S19" s="31">
        <v>22301.473003651037</v>
      </c>
      <c r="T19" s="31">
        <v>23151.890773027437</v>
      </c>
      <c r="U19" s="31">
        <v>24045.290425570864</v>
      </c>
      <c r="V19" s="31">
        <v>24981.238662792217</v>
      </c>
      <c r="W19" s="31">
        <v>25697.304195957571</v>
      </c>
      <c r="X19" s="31">
        <v>0</v>
      </c>
      <c r="Y19" s="31">
        <v>0</v>
      </c>
    </row>
    <row r="20" spans="1:25">
      <c r="A20" s="257" t="s">
        <v>32</v>
      </c>
      <c r="B20" s="305">
        <f>NPV(0.1,D20:Y20)</f>
        <v>138438.45804912626</v>
      </c>
      <c r="C20" s="305">
        <f>B20-B10</f>
        <v>13522.818724995552</v>
      </c>
      <c r="D20" s="313">
        <v>4598.7136249971027</v>
      </c>
      <c r="E20" s="313">
        <v>8219.5643339682865</v>
      </c>
      <c r="F20" s="313">
        <v>7663.4325313198942</v>
      </c>
      <c r="G20" s="313">
        <v>20702.656047347948</v>
      </c>
      <c r="H20" s="313">
        <v>26397.297972890861</v>
      </c>
      <c r="I20" s="313">
        <v>26126.1070219705</v>
      </c>
      <c r="J20" s="313">
        <v>19804.276168255594</v>
      </c>
      <c r="K20" s="313">
        <v>19751.556517078621</v>
      </c>
      <c r="L20" s="313">
        <v>19694.35825558324</v>
      </c>
      <c r="M20" s="313">
        <v>19631.419404268658</v>
      </c>
      <c r="N20" s="314">
        <v>19522.127271081441</v>
      </c>
      <c r="O20" s="31">
        <v>19417.185480887572</v>
      </c>
      <c r="P20" s="31">
        <v>19294.460070087247</v>
      </c>
      <c r="Q20" s="31">
        <v>19159.051287105256</v>
      </c>
      <c r="R20" s="31">
        <v>18977.898232629308</v>
      </c>
      <c r="S20" s="31">
        <v>14267.146456188279</v>
      </c>
      <c r="T20" s="31">
        <v>13274.814354213693</v>
      </c>
      <c r="U20" s="31">
        <v>12886.028187464304</v>
      </c>
      <c r="V20" s="31">
        <v>12456.202984712752</v>
      </c>
      <c r="W20" s="31">
        <v>19096.122652515951</v>
      </c>
      <c r="X20" s="31">
        <v>0</v>
      </c>
      <c r="Y20" s="31">
        <v>0</v>
      </c>
    </row>
    <row r="21" spans="1:25">
      <c r="D21" s="34"/>
      <c r="E21" s="250"/>
    </row>
    <row r="22" spans="1:25">
      <c r="A22" s="261">
        <v>36216</v>
      </c>
      <c r="D22" s="34"/>
      <c r="E22" s="250"/>
    </row>
    <row r="23" spans="1:25">
      <c r="A23" s="29" t="s">
        <v>421</v>
      </c>
      <c r="D23" s="34"/>
      <c r="E23" s="250"/>
    </row>
    <row r="24" spans="1:25">
      <c r="A24" s="29"/>
      <c r="D24" s="34"/>
      <c r="E24" s="250"/>
    </row>
    <row r="25" spans="1:25">
      <c r="A25" s="29" t="s">
        <v>425</v>
      </c>
      <c r="D25" s="34"/>
      <c r="E25" s="250"/>
    </row>
    <row r="26" spans="1:25">
      <c r="D26" s="34"/>
      <c r="E26" s="250"/>
    </row>
    <row r="27" spans="1:25">
      <c r="A27" s="254" t="s">
        <v>379</v>
      </c>
      <c r="B27" s="255">
        <v>55636.712688537998</v>
      </c>
      <c r="D27" s="256"/>
      <c r="E27" s="256"/>
      <c r="F27" s="256"/>
      <c r="G27" s="256"/>
      <c r="H27" s="256"/>
      <c r="I27" s="256"/>
      <c r="J27" s="256"/>
      <c r="K27" s="256"/>
      <c r="L27" s="256"/>
      <c r="M27" s="256"/>
      <c r="N27" s="256"/>
      <c r="O27" s="256"/>
      <c r="P27" s="256"/>
      <c r="Q27" s="256"/>
      <c r="R27" s="256"/>
      <c r="S27" s="256"/>
      <c r="T27" s="256"/>
      <c r="U27" s="256"/>
      <c r="V27" s="256"/>
      <c r="W27" s="256"/>
    </row>
    <row r="28" spans="1:25">
      <c r="A28" s="257" t="s">
        <v>380</v>
      </c>
      <c r="B28" s="258">
        <v>92567.17482900036</v>
      </c>
      <c r="D28" s="256"/>
      <c r="E28" s="256"/>
      <c r="F28" s="256"/>
      <c r="G28" s="256"/>
      <c r="H28" s="256"/>
      <c r="I28" s="256"/>
      <c r="J28" s="256"/>
      <c r="K28" s="256"/>
      <c r="L28" s="256"/>
      <c r="M28" s="256"/>
      <c r="N28" s="256"/>
      <c r="O28" s="256"/>
      <c r="P28" s="256"/>
      <c r="Q28" s="256"/>
      <c r="R28" s="256"/>
      <c r="S28" s="256"/>
      <c r="T28" s="256"/>
      <c r="U28" s="256"/>
      <c r="V28" s="256"/>
      <c r="W28" s="256"/>
    </row>
    <row r="29" spans="1:25">
      <c r="A29" s="259" t="s">
        <v>383</v>
      </c>
      <c r="B29" s="304" t="s">
        <v>483</v>
      </c>
      <c r="C29" s="304" t="s">
        <v>484</v>
      </c>
      <c r="D29" s="306">
        <v>2000</v>
      </c>
      <c r="E29" s="307">
        <v>2001</v>
      </c>
      <c r="F29" s="307">
        <v>2002</v>
      </c>
      <c r="G29" s="307">
        <v>2003</v>
      </c>
      <c r="H29" s="307">
        <v>2004</v>
      </c>
      <c r="I29" s="307">
        <v>2005</v>
      </c>
      <c r="J29" s="307">
        <v>2006</v>
      </c>
      <c r="K29" s="307">
        <v>2007</v>
      </c>
      <c r="L29" s="307">
        <v>2008</v>
      </c>
      <c r="M29" s="307">
        <v>2009</v>
      </c>
      <c r="N29" s="308">
        <v>2010</v>
      </c>
      <c r="O29" s="256">
        <v>2011</v>
      </c>
      <c r="P29" s="256">
        <v>2012</v>
      </c>
      <c r="Q29" s="256">
        <v>2013</v>
      </c>
      <c r="R29" s="256">
        <v>2014</v>
      </c>
      <c r="S29" s="256">
        <v>2015</v>
      </c>
      <c r="T29" s="256">
        <v>2016</v>
      </c>
      <c r="U29" s="256">
        <v>2017</v>
      </c>
      <c r="V29" s="256">
        <v>2018</v>
      </c>
      <c r="W29" s="256">
        <v>2019</v>
      </c>
      <c r="X29" s="256">
        <v>2020</v>
      </c>
      <c r="Y29" s="256">
        <v>2021</v>
      </c>
    </row>
    <row r="30" spans="1:25">
      <c r="A30" s="259" t="s">
        <v>381</v>
      </c>
      <c r="B30" s="305">
        <f>NPV(0.1,D30:Y30)</f>
        <v>560779.2720304589</v>
      </c>
      <c r="C30" s="305">
        <f>B30-B17</f>
        <v>0</v>
      </c>
      <c r="D30" s="309">
        <v>32832.330519950003</v>
      </c>
      <c r="E30" s="310">
        <v>45948.831511700009</v>
      </c>
      <c r="F30" s="310">
        <v>46302.639385400005</v>
      </c>
      <c r="G30" s="310">
        <v>58642.20151382943</v>
      </c>
      <c r="H30" s="310">
        <v>68535.883289146179</v>
      </c>
      <c r="I30" s="310">
        <v>69912.486379192036</v>
      </c>
      <c r="J30" s="310">
        <v>71068.04109758533</v>
      </c>
      <c r="K30" s="310">
        <v>72352.954964608216</v>
      </c>
      <c r="L30" s="310">
        <v>73764.111448257754</v>
      </c>
      <c r="M30" s="310">
        <v>75306.588420694563</v>
      </c>
      <c r="N30" s="311">
        <v>77015.385599071335</v>
      </c>
      <c r="O30" s="31">
        <v>79087.679995917104</v>
      </c>
      <c r="P30" s="31">
        <v>81341.414994061211</v>
      </c>
      <c r="Q30" s="31">
        <v>83693.543501098597</v>
      </c>
      <c r="R30" s="31">
        <v>86135.908901124392</v>
      </c>
      <c r="S30" s="31">
        <v>88626.595636491111</v>
      </c>
      <c r="T30" s="31">
        <v>90748.623840660861</v>
      </c>
      <c r="U30" s="31">
        <v>93097.482915289831</v>
      </c>
      <c r="V30" s="31">
        <v>95133.920756891792</v>
      </c>
      <c r="W30" s="31">
        <v>97164.542943064371</v>
      </c>
      <c r="X30" s="31">
        <v>23377.132224294623</v>
      </c>
      <c r="Y30" s="31">
        <v>0</v>
      </c>
    </row>
    <row r="31" spans="1:25">
      <c r="A31" s="260" t="s">
        <v>382</v>
      </c>
      <c r="B31" s="305">
        <f>NPV(0.1,D31:Y31)</f>
        <v>237864.88288479744</v>
      </c>
      <c r="C31" s="305">
        <f>B31-B18</f>
        <v>264.42891819035867</v>
      </c>
      <c r="D31" s="309">
        <v>19632.005713283335</v>
      </c>
      <c r="E31" s="310">
        <v>23863.702022976959</v>
      </c>
      <c r="F31" s="310">
        <v>24296.949834060964</v>
      </c>
      <c r="G31" s="310">
        <v>24643.981047696478</v>
      </c>
      <c r="H31" s="310">
        <v>25076.472494797064</v>
      </c>
      <c r="I31" s="310">
        <v>25605.005429236669</v>
      </c>
      <c r="J31" s="310">
        <v>26223.679368783462</v>
      </c>
      <c r="K31" s="310">
        <v>26979.796528422652</v>
      </c>
      <c r="L31" s="310">
        <v>27871.208613140021</v>
      </c>
      <c r="M31" s="310">
        <v>28904.01255063992</v>
      </c>
      <c r="N31" s="311">
        <v>30114.280109873813</v>
      </c>
      <c r="O31" s="31">
        <v>31513.35952405772</v>
      </c>
      <c r="P31" s="31">
        <v>33096.117820859145</v>
      </c>
      <c r="Q31" s="31">
        <v>34780.248098236596</v>
      </c>
      <c r="R31" s="31">
        <v>36558.376327617392</v>
      </c>
      <c r="S31" s="31">
        <v>38389.413813301602</v>
      </c>
      <c r="T31" s="31">
        <v>40290.720473783345</v>
      </c>
      <c r="U31" s="31">
        <v>42451.248361082529</v>
      </c>
      <c r="V31" s="31">
        <v>44333.887442483705</v>
      </c>
      <c r="W31" s="31">
        <v>46247.484739280902</v>
      </c>
      <c r="X31" s="31">
        <v>0</v>
      </c>
      <c r="Y31" s="31">
        <v>0</v>
      </c>
    </row>
    <row r="32" spans="1:25">
      <c r="A32" s="260" t="s">
        <v>35</v>
      </c>
      <c r="B32" s="305">
        <f>NPV(0.1,D32:Y32)</f>
        <v>100270.89041491746</v>
      </c>
      <c r="C32" s="305">
        <f>B32-B19</f>
        <v>-28.471508469330729</v>
      </c>
      <c r="D32" s="309">
        <v>255.57192434423206</v>
      </c>
      <c r="E32" s="310">
        <v>147.62254297832811</v>
      </c>
      <c r="F32" s="310">
        <v>163.48016907109502</v>
      </c>
      <c r="G32" s="310">
        <v>7634.799613809836</v>
      </c>
      <c r="H32" s="310">
        <v>13510.530029976884</v>
      </c>
      <c r="I32" s="310">
        <v>14403.970700858881</v>
      </c>
      <c r="J32" s="310">
        <v>15092.682896568478</v>
      </c>
      <c r="K32" s="310">
        <v>15663.830936843922</v>
      </c>
      <c r="L32" s="310">
        <v>16290.093581294304</v>
      </c>
      <c r="M32" s="310">
        <v>16944.388215073119</v>
      </c>
      <c r="N32" s="311">
        <v>17628.58117917092</v>
      </c>
      <c r="O32" s="31">
        <v>18427.944137664406</v>
      </c>
      <c r="P32" s="31">
        <v>19304.462838162413</v>
      </c>
      <c r="Q32" s="31">
        <v>20228.881028007389</v>
      </c>
      <c r="R32" s="31">
        <v>21204.621389761982</v>
      </c>
      <c r="S32" s="31">
        <v>22198.875948823556</v>
      </c>
      <c r="T32" s="31">
        <v>23020.398177232801</v>
      </c>
      <c r="U32" s="31">
        <v>23880.537369410798</v>
      </c>
      <c r="V32" s="31">
        <v>24782.00426931449</v>
      </c>
      <c r="W32" s="31">
        <v>25481.653010171667</v>
      </c>
      <c r="X32" s="31">
        <v>0</v>
      </c>
      <c r="Y32" s="31">
        <v>0</v>
      </c>
    </row>
    <row r="33" spans="1:25">
      <c r="A33" s="260" t="s">
        <v>32</v>
      </c>
      <c r="B33" s="305">
        <f>NPV(0.1,D33:Y33)</f>
        <v>139069.37780063794</v>
      </c>
      <c r="C33" s="305">
        <f>B33-B20</f>
        <v>630.91975151168299</v>
      </c>
      <c r="D33" s="312">
        <v>4599.2946493354284</v>
      </c>
      <c r="E33" s="313">
        <v>8176.2918546757737</v>
      </c>
      <c r="F33" s="313">
        <v>7693.7449935504183</v>
      </c>
      <c r="G33" s="313">
        <v>20741.339109984612</v>
      </c>
      <c r="H33" s="313">
        <v>26429.517091527523</v>
      </c>
      <c r="I33" s="313">
        <v>26806.506480636581</v>
      </c>
      <c r="J33" s="313">
        <v>19908.643396312982</v>
      </c>
      <c r="K33" s="313">
        <v>19848.693363768158</v>
      </c>
      <c r="L33" s="313">
        <v>19778.992003009436</v>
      </c>
      <c r="M33" s="313">
        <v>19703.673066704345</v>
      </c>
      <c r="N33" s="314">
        <v>19586.34173148531</v>
      </c>
      <c r="O33" s="31">
        <v>19468.183311252869</v>
      </c>
      <c r="P33" s="31">
        <v>19336.67522531069</v>
      </c>
      <c r="Q33" s="31">
        <v>19191.614884417206</v>
      </c>
      <c r="R33" s="31">
        <v>18995.823846636413</v>
      </c>
      <c r="S33" s="31">
        <v>14270.866297065726</v>
      </c>
      <c r="T33" s="31">
        <v>13273.211264038699</v>
      </c>
      <c r="U33" s="31">
        <v>12873.172500020017</v>
      </c>
      <c r="V33" s="31">
        <v>12427.460178082893</v>
      </c>
      <c r="W33" s="31">
        <v>19048.574737256498</v>
      </c>
      <c r="X33" s="31">
        <v>0</v>
      </c>
      <c r="Y33" s="31">
        <v>0</v>
      </c>
    </row>
    <row r="34" spans="1:25">
      <c r="D34" s="34"/>
      <c r="E34" s="250"/>
    </row>
    <row r="35" spans="1:25">
      <c r="A35" s="29" t="s">
        <v>426</v>
      </c>
      <c r="D35" s="34"/>
      <c r="E35" s="250"/>
    </row>
    <row r="36" spans="1:25">
      <c r="D36" s="34"/>
      <c r="E36" s="250"/>
    </row>
    <row r="37" spans="1:25">
      <c r="A37" s="254" t="s">
        <v>379</v>
      </c>
      <c r="B37" s="255">
        <v>55249.344460372675</v>
      </c>
      <c r="D37" s="256"/>
      <c r="E37" s="256"/>
      <c r="F37" s="256"/>
      <c r="G37" s="256"/>
      <c r="H37" s="256"/>
      <c r="I37" s="256"/>
      <c r="J37" s="256"/>
      <c r="K37" s="256"/>
      <c r="L37" s="256"/>
      <c r="M37" s="256"/>
      <c r="N37" s="256"/>
      <c r="O37" s="256"/>
      <c r="P37" s="256"/>
      <c r="Q37" s="256"/>
      <c r="R37" s="256"/>
      <c r="S37" s="256"/>
      <c r="T37" s="256"/>
      <c r="U37" s="256"/>
      <c r="V37" s="256"/>
      <c r="W37" s="256"/>
    </row>
    <row r="38" spans="1:25">
      <c r="A38" s="257" t="s">
        <v>380</v>
      </c>
      <c r="B38" s="258">
        <v>92110.938366568866</v>
      </c>
      <c r="D38" s="256"/>
      <c r="E38" s="256"/>
      <c r="F38" s="256"/>
      <c r="G38" s="256"/>
      <c r="H38" s="256"/>
      <c r="I38" s="256"/>
      <c r="J38" s="256"/>
      <c r="K38" s="256"/>
      <c r="L38" s="256"/>
      <c r="M38" s="256"/>
      <c r="N38" s="256"/>
      <c r="O38" s="256"/>
      <c r="P38" s="256"/>
      <c r="Q38" s="256"/>
      <c r="R38" s="256"/>
      <c r="S38" s="256"/>
      <c r="T38" s="256"/>
      <c r="U38" s="256"/>
      <c r="V38" s="256"/>
      <c r="W38" s="256"/>
    </row>
    <row r="39" spans="1:25">
      <c r="A39" s="259" t="s">
        <v>383</v>
      </c>
      <c r="B39" s="304" t="s">
        <v>483</v>
      </c>
      <c r="C39" s="304" t="s">
        <v>484</v>
      </c>
      <c r="D39" s="306">
        <v>2000</v>
      </c>
      <c r="E39" s="307">
        <v>2001</v>
      </c>
      <c r="F39" s="307">
        <v>2002</v>
      </c>
      <c r="G39" s="307">
        <v>2003</v>
      </c>
      <c r="H39" s="307">
        <v>2004</v>
      </c>
      <c r="I39" s="307">
        <v>2005</v>
      </c>
      <c r="J39" s="307">
        <v>2006</v>
      </c>
      <c r="K39" s="307">
        <v>2007</v>
      </c>
      <c r="L39" s="307">
        <v>2008</v>
      </c>
      <c r="M39" s="307">
        <v>2009</v>
      </c>
      <c r="N39" s="308">
        <v>2010</v>
      </c>
      <c r="O39" s="256">
        <v>2011</v>
      </c>
      <c r="P39" s="256">
        <v>2012</v>
      </c>
      <c r="Q39" s="256">
        <v>2013</v>
      </c>
      <c r="R39" s="256">
        <v>2014</v>
      </c>
      <c r="S39" s="256">
        <v>2015</v>
      </c>
      <c r="T39" s="256">
        <v>2016</v>
      </c>
      <c r="U39" s="256">
        <v>2017</v>
      </c>
      <c r="V39" s="256">
        <v>2018</v>
      </c>
      <c r="W39" s="256">
        <v>2019</v>
      </c>
      <c r="X39" s="256">
        <v>2020</v>
      </c>
      <c r="Y39" s="256">
        <v>2021</v>
      </c>
    </row>
    <row r="40" spans="1:25">
      <c r="A40" s="259" t="s">
        <v>381</v>
      </c>
      <c r="B40" s="305">
        <f>NPV(0.1,D40:Y40)</f>
        <v>560779.2720304589</v>
      </c>
      <c r="C40" s="305">
        <f>B40-B30</f>
        <v>0</v>
      </c>
      <c r="D40" s="309">
        <v>32832.330519950003</v>
      </c>
      <c r="E40" s="310">
        <v>45948.831511700009</v>
      </c>
      <c r="F40" s="310">
        <v>46302.639385400005</v>
      </c>
      <c r="G40" s="310">
        <v>58642.20151382943</v>
      </c>
      <c r="H40" s="310">
        <v>68535.883289146179</v>
      </c>
      <c r="I40" s="310">
        <v>69912.486379192036</v>
      </c>
      <c r="J40" s="310">
        <v>71068.04109758533</v>
      </c>
      <c r="K40" s="310">
        <v>72352.954964608216</v>
      </c>
      <c r="L40" s="310">
        <v>73764.111448257754</v>
      </c>
      <c r="M40" s="310">
        <v>75306.588420694563</v>
      </c>
      <c r="N40" s="311">
        <v>77015.385599071335</v>
      </c>
      <c r="O40" s="31">
        <v>79087.679995917104</v>
      </c>
      <c r="P40" s="31">
        <v>81341.414994061211</v>
      </c>
      <c r="Q40" s="31">
        <v>83693.543501098597</v>
      </c>
      <c r="R40" s="31">
        <v>86135.908901124392</v>
      </c>
      <c r="S40" s="31">
        <v>88626.595636491111</v>
      </c>
      <c r="T40" s="31">
        <v>90748.623840660861</v>
      </c>
      <c r="U40" s="31">
        <v>93097.482915289831</v>
      </c>
      <c r="V40" s="31">
        <v>95133.920756891792</v>
      </c>
      <c r="W40" s="31">
        <v>97164.542943064371</v>
      </c>
      <c r="X40" s="31">
        <v>23377.132224294623</v>
      </c>
      <c r="Y40" s="31">
        <v>0</v>
      </c>
    </row>
    <row r="41" spans="1:25">
      <c r="A41" s="260" t="s">
        <v>382</v>
      </c>
      <c r="B41" s="305">
        <f>NPV(0.1,D41:Y41)</f>
        <v>237864.88288479744</v>
      </c>
      <c r="C41" s="305">
        <f>B41-B31</f>
        <v>0</v>
      </c>
      <c r="D41" s="309">
        <v>19632.005713283335</v>
      </c>
      <c r="E41" s="310">
        <v>23863.702022976959</v>
      </c>
      <c r="F41" s="310">
        <v>24296.949834060964</v>
      </c>
      <c r="G41" s="310">
        <v>24643.981047696478</v>
      </c>
      <c r="H41" s="310">
        <v>25076.472494797064</v>
      </c>
      <c r="I41" s="310">
        <v>25605.005429236669</v>
      </c>
      <c r="J41" s="310">
        <v>26223.679368783462</v>
      </c>
      <c r="K41" s="310">
        <v>26979.796528422652</v>
      </c>
      <c r="L41" s="310">
        <v>27871.208613140021</v>
      </c>
      <c r="M41" s="310">
        <v>28904.01255063992</v>
      </c>
      <c r="N41" s="311">
        <v>30114.280109873813</v>
      </c>
      <c r="O41" s="31">
        <v>31513.35952405772</v>
      </c>
      <c r="P41" s="31">
        <v>33096.117820859145</v>
      </c>
      <c r="Q41" s="31">
        <v>34780.248098236596</v>
      </c>
      <c r="R41" s="31">
        <v>36558.376327617392</v>
      </c>
      <c r="S41" s="31">
        <v>38389.413813301602</v>
      </c>
      <c r="T41" s="31">
        <v>40290.720473783345</v>
      </c>
      <c r="U41" s="31">
        <v>42451.248361082529</v>
      </c>
      <c r="V41" s="31">
        <v>44333.887442483705</v>
      </c>
      <c r="W41" s="31">
        <v>46247.484739280902</v>
      </c>
      <c r="X41" s="31">
        <v>0</v>
      </c>
      <c r="Y41" s="31">
        <v>0</v>
      </c>
    </row>
    <row r="42" spans="1:25">
      <c r="A42" s="260" t="s">
        <v>35</v>
      </c>
      <c r="B42" s="305">
        <f>NPV(0.1,D42:Y42)</f>
        <v>100188.21271480729</v>
      </c>
      <c r="C42" s="305">
        <f>B42-B32</f>
        <v>-82.677700110172736</v>
      </c>
      <c r="D42" s="309">
        <v>249.6432227622268</v>
      </c>
      <c r="E42" s="310">
        <v>137.45905455203274</v>
      </c>
      <c r="F42" s="310">
        <v>153.31668064479965</v>
      </c>
      <c r="G42" s="310">
        <v>7624.6361253835403</v>
      </c>
      <c r="H42" s="310">
        <v>13500.366541550589</v>
      </c>
      <c r="I42" s="310">
        <v>14393.80721243259</v>
      </c>
      <c r="J42" s="310">
        <v>15082.519408142183</v>
      </c>
      <c r="K42" s="310">
        <v>15653.667448417627</v>
      </c>
      <c r="L42" s="310">
        <v>16279.930092868008</v>
      </c>
      <c r="M42" s="310">
        <v>16934.224726646822</v>
      </c>
      <c r="N42" s="311">
        <v>17618.417690744624</v>
      </c>
      <c r="O42" s="31">
        <v>18417.780649238113</v>
      </c>
      <c r="P42" s="31">
        <v>19294.299349736117</v>
      </c>
      <c r="Q42" s="31">
        <v>20218.717539581092</v>
      </c>
      <c r="R42" s="31">
        <v>21194.457901335685</v>
      </c>
      <c r="S42" s="31">
        <v>22188.712460397262</v>
      </c>
      <c r="T42" s="31">
        <v>23010.234688806508</v>
      </c>
      <c r="U42" s="31">
        <v>23870.373880984509</v>
      </c>
      <c r="V42" s="31">
        <v>24771.840780888197</v>
      </c>
      <c r="W42" s="31">
        <v>25471.489521745374</v>
      </c>
      <c r="X42" s="31">
        <v>0</v>
      </c>
      <c r="Y42" s="31">
        <v>0</v>
      </c>
    </row>
    <row r="43" spans="1:25">
      <c r="A43" s="260" t="s">
        <v>32</v>
      </c>
      <c r="B43" s="305">
        <f>NPV(0.1,D43:Y43)</f>
        <v>139144.96040282454</v>
      </c>
      <c r="C43" s="305">
        <f>B43-B33</f>
        <v>75.582602186594158</v>
      </c>
      <c r="D43" s="312">
        <v>4599.2946493354284</v>
      </c>
      <c r="E43" s="313">
        <v>8176.2918546757737</v>
      </c>
      <c r="F43" s="313">
        <v>7693.7449935504183</v>
      </c>
      <c r="G43" s="313">
        <v>20741.339109984612</v>
      </c>
      <c r="H43" s="313">
        <v>26429.517091527523</v>
      </c>
      <c r="I43" s="313">
        <v>26884.048174299023</v>
      </c>
      <c r="J43" s="313">
        <v>19918.459688791369</v>
      </c>
      <c r="K43" s="313">
        <v>19858.527047980489</v>
      </c>
      <c r="L43" s="313">
        <v>19788.808295487819</v>
      </c>
      <c r="M43" s="313">
        <v>19713.50675091668</v>
      </c>
      <c r="N43" s="314">
        <v>19596.158023963697</v>
      </c>
      <c r="O43" s="31">
        <v>19478.016995465201</v>
      </c>
      <c r="P43" s="31">
        <v>19346.491517789073</v>
      </c>
      <c r="Q43" s="31">
        <v>19201.448568629541</v>
      </c>
      <c r="R43" s="31">
        <v>19005.640139114796</v>
      </c>
      <c r="S43" s="31">
        <v>14271.708454826996</v>
      </c>
      <c r="T43" s="31">
        <v>13272.766433487828</v>
      </c>
      <c r="U43" s="31">
        <v>12872.727669469154</v>
      </c>
      <c r="V43" s="31">
        <v>12427.015347532022</v>
      </c>
      <c r="W43" s="31">
        <v>19048.129906705628</v>
      </c>
      <c r="X43" s="31">
        <v>0</v>
      </c>
      <c r="Y43" s="31">
        <v>0</v>
      </c>
    </row>
    <row r="44" spans="1:25">
      <c r="D44" s="34"/>
      <c r="E44" s="250"/>
    </row>
    <row r="45" spans="1:25">
      <c r="A45" s="29" t="s">
        <v>428</v>
      </c>
      <c r="D45" s="34"/>
      <c r="E45" s="250"/>
    </row>
    <row r="46" spans="1:25">
      <c r="D46" s="34"/>
      <c r="E46" s="250"/>
    </row>
    <row r="47" spans="1:25">
      <c r="A47" s="254" t="s">
        <v>379</v>
      </c>
      <c r="B47" s="255">
        <v>55625.917467960331</v>
      </c>
      <c r="D47" s="256"/>
      <c r="E47" s="256"/>
      <c r="F47" s="256"/>
      <c r="G47" s="256"/>
      <c r="H47" s="256"/>
      <c r="I47" s="256"/>
      <c r="J47" s="256"/>
      <c r="K47" s="256"/>
      <c r="L47" s="256"/>
      <c r="M47" s="256"/>
      <c r="N47" s="256"/>
      <c r="O47" s="256"/>
      <c r="P47" s="256"/>
      <c r="Q47" s="256"/>
      <c r="R47" s="256"/>
      <c r="S47" s="256"/>
      <c r="T47" s="256"/>
      <c r="U47" s="256"/>
      <c r="V47" s="256"/>
      <c r="W47" s="256"/>
    </row>
    <row r="48" spans="1:25">
      <c r="A48" s="257" t="s">
        <v>380</v>
      </c>
      <c r="B48" s="258">
        <v>92580.688366411865</v>
      </c>
      <c r="D48" s="256"/>
      <c r="E48" s="256"/>
      <c r="F48" s="256"/>
      <c r="G48" s="256"/>
      <c r="H48" s="256"/>
      <c r="I48" s="256"/>
      <c r="J48" s="256"/>
      <c r="K48" s="256"/>
      <c r="L48" s="256"/>
      <c r="M48" s="256"/>
      <c r="N48" s="256"/>
      <c r="O48" s="256"/>
      <c r="P48" s="256"/>
      <c r="Q48" s="256"/>
      <c r="R48" s="256"/>
      <c r="S48" s="256"/>
      <c r="T48" s="256"/>
      <c r="U48" s="256"/>
      <c r="V48" s="256"/>
      <c r="W48" s="256"/>
    </row>
    <row r="49" spans="1:25">
      <c r="A49" s="259" t="s">
        <v>383</v>
      </c>
      <c r="B49" s="304" t="s">
        <v>483</v>
      </c>
      <c r="C49" s="304" t="s">
        <v>484</v>
      </c>
      <c r="D49" s="306">
        <v>2000</v>
      </c>
      <c r="E49" s="307">
        <v>2001</v>
      </c>
      <c r="F49" s="307">
        <v>2002</v>
      </c>
      <c r="G49" s="307">
        <v>2003</v>
      </c>
      <c r="H49" s="307">
        <v>2004</v>
      </c>
      <c r="I49" s="307">
        <v>2005</v>
      </c>
      <c r="J49" s="307">
        <v>2006</v>
      </c>
      <c r="K49" s="307">
        <v>2007</v>
      </c>
      <c r="L49" s="307">
        <v>2008</v>
      </c>
      <c r="M49" s="307">
        <v>2009</v>
      </c>
      <c r="N49" s="308">
        <v>2010</v>
      </c>
      <c r="O49" s="256">
        <v>2011</v>
      </c>
      <c r="P49" s="256">
        <v>2012</v>
      </c>
      <c r="Q49" s="256">
        <v>2013</v>
      </c>
      <c r="R49" s="256">
        <v>2014</v>
      </c>
      <c r="S49" s="256">
        <v>2015</v>
      </c>
      <c r="T49" s="256">
        <v>2016</v>
      </c>
      <c r="U49" s="256">
        <v>2017</v>
      </c>
      <c r="V49" s="256">
        <v>2018</v>
      </c>
      <c r="W49" s="256">
        <v>2019</v>
      </c>
      <c r="X49" s="256">
        <v>2020</v>
      </c>
      <c r="Y49" s="256">
        <v>2021</v>
      </c>
    </row>
    <row r="50" spans="1:25">
      <c r="A50" s="259" t="s">
        <v>381</v>
      </c>
      <c r="B50" s="305">
        <f>NPV(0.1,D50:Y50)</f>
        <v>560779.2720304589</v>
      </c>
      <c r="C50" s="305">
        <f>B50-B40</f>
        <v>0</v>
      </c>
      <c r="D50" s="309">
        <v>32832.330519950003</v>
      </c>
      <c r="E50" s="310">
        <v>45948.831511700009</v>
      </c>
      <c r="F50" s="310">
        <v>46302.639385400005</v>
      </c>
      <c r="G50" s="310">
        <v>58642.20151382943</v>
      </c>
      <c r="H50" s="310">
        <v>68535.883289146179</v>
      </c>
      <c r="I50" s="310">
        <v>69912.486379192036</v>
      </c>
      <c r="J50" s="310">
        <v>71068.04109758533</v>
      </c>
      <c r="K50" s="310">
        <v>72352.954964608216</v>
      </c>
      <c r="L50" s="310">
        <v>73764.111448257754</v>
      </c>
      <c r="M50" s="310">
        <v>75306.588420694563</v>
      </c>
      <c r="N50" s="311">
        <v>77015.385599071335</v>
      </c>
      <c r="O50" s="31">
        <v>79087.679995917104</v>
      </c>
      <c r="P50" s="31">
        <v>81341.414994061211</v>
      </c>
      <c r="Q50" s="31">
        <v>83693.543501098597</v>
      </c>
      <c r="R50" s="31">
        <v>86135.908901124392</v>
      </c>
      <c r="S50" s="31">
        <v>88626.595636491111</v>
      </c>
      <c r="T50" s="31">
        <v>90748.623840660861</v>
      </c>
      <c r="U50" s="31">
        <v>93097.482915289831</v>
      </c>
      <c r="V50" s="31">
        <v>95133.920756891792</v>
      </c>
      <c r="W50" s="31">
        <v>97164.542943064371</v>
      </c>
      <c r="X50" s="31">
        <v>23377.132224294623</v>
      </c>
      <c r="Y50" s="31">
        <v>0</v>
      </c>
    </row>
    <row r="51" spans="1:25">
      <c r="A51" s="260" t="s">
        <v>382</v>
      </c>
      <c r="B51" s="305">
        <f>NPV(0.1,D51:Y51)</f>
        <v>237339.39715178398</v>
      </c>
      <c r="C51" s="305">
        <f>B51-B41</f>
        <v>-525.48573301345459</v>
      </c>
      <c r="D51" s="309">
        <v>19632.005713283335</v>
      </c>
      <c r="E51" s="310">
        <v>23863.702022976959</v>
      </c>
      <c r="F51" s="310">
        <v>24296.949834060964</v>
      </c>
      <c r="G51" s="310">
        <v>24643.981047696478</v>
      </c>
      <c r="H51" s="310">
        <v>25076.472494797064</v>
      </c>
      <c r="I51" s="310">
        <v>25548.980717419436</v>
      </c>
      <c r="J51" s="310">
        <v>26167.654656966224</v>
      </c>
      <c r="K51" s="310">
        <v>26923.771816605418</v>
      </c>
      <c r="L51" s="310">
        <v>27815.183901322787</v>
      </c>
      <c r="M51" s="310">
        <v>28791.963127005452</v>
      </c>
      <c r="N51" s="311">
        <v>30002.230686239345</v>
      </c>
      <c r="O51" s="31">
        <v>31401.310100423245</v>
      </c>
      <c r="P51" s="31">
        <v>32984.06839722467</v>
      </c>
      <c r="Q51" s="31">
        <v>34612.173962784895</v>
      </c>
      <c r="R51" s="31">
        <v>36390.302192165691</v>
      </c>
      <c r="S51" s="31">
        <v>38221.339677849894</v>
      </c>
      <c r="T51" s="31">
        <v>40122.646338331637</v>
      </c>
      <c r="U51" s="31">
        <v>42227.149513813587</v>
      </c>
      <c r="V51" s="31">
        <v>44109.788595214763</v>
      </c>
      <c r="W51" s="31">
        <v>46023.38589201196</v>
      </c>
      <c r="X51" s="31">
        <v>0</v>
      </c>
      <c r="Y51" s="31">
        <v>0</v>
      </c>
    </row>
    <row r="52" spans="1:25">
      <c r="A52" s="260" t="s">
        <v>35</v>
      </c>
      <c r="B52" s="305">
        <f>NPV(0.1,D52:Y52)</f>
        <v>100372.30295782347</v>
      </c>
      <c r="C52" s="305">
        <f>B52-B42</f>
        <v>184.09024301618047</v>
      </c>
      <c r="D52" s="309">
        <v>241.57670755448169</v>
      </c>
      <c r="E52" s="310">
        <v>123.00558783872653</v>
      </c>
      <c r="F52" s="310">
        <v>137.74307026121249</v>
      </c>
      <c r="G52" s="310">
        <v>7607.8555601952248</v>
      </c>
      <c r="H52" s="310">
        <v>13482.243531147209</v>
      </c>
      <c r="I52" s="310">
        <v>14408.902452869437</v>
      </c>
      <c r="J52" s="310">
        <v>15097.158199413703</v>
      </c>
      <c r="K52" s="310">
        <v>15667.81327459059</v>
      </c>
      <c r="L52" s="310">
        <v>16293.543516734526</v>
      </c>
      <c r="M52" s="310">
        <v>16981.931247694883</v>
      </c>
      <c r="N52" s="311">
        <v>17666.612596675972</v>
      </c>
      <c r="O52" s="31">
        <v>18466.503010843415</v>
      </c>
      <c r="P52" s="31">
        <v>19343.591363469284</v>
      </c>
      <c r="Q52" s="31">
        <v>20303.292869284844</v>
      </c>
      <c r="R52" s="31">
        <v>21280.807052214903</v>
      </c>
      <c r="S52" s="31">
        <v>22276.977338145982</v>
      </c>
      <c r="T52" s="31">
        <v>23100.568551574281</v>
      </c>
      <c r="U52" s="31">
        <v>23997.610339245366</v>
      </c>
      <c r="V52" s="31">
        <v>24902.5998822088</v>
      </c>
      <c r="W52" s="31">
        <v>25606.053077570505</v>
      </c>
      <c r="X52" s="31">
        <v>0</v>
      </c>
      <c r="Y52" s="31">
        <v>0</v>
      </c>
    </row>
    <row r="53" spans="1:25">
      <c r="A53" s="260" t="s">
        <v>32</v>
      </c>
      <c r="B53" s="305">
        <f>NPV(0.1,D53:Y53)</f>
        <v>139263.14017772872</v>
      </c>
      <c r="C53" s="305">
        <f>B53-B43</f>
        <v>118.17977490418707</v>
      </c>
      <c r="D53" s="312">
        <v>4599.2946493354284</v>
      </c>
      <c r="E53" s="313">
        <v>8176.2918546757737</v>
      </c>
      <c r="F53" s="313">
        <v>7693.7449935504201</v>
      </c>
      <c r="G53" s="313">
        <v>20741.339109984612</v>
      </c>
      <c r="H53" s="313">
        <v>26429.517091527523</v>
      </c>
      <c r="I53" s="313">
        <v>26898.930542419523</v>
      </c>
      <c r="J53" s="313">
        <v>19943.327044409547</v>
      </c>
      <c r="K53" s="313">
        <v>19883.698085395015</v>
      </c>
      <c r="L53" s="313">
        <v>19814.307309242373</v>
      </c>
      <c r="M53" s="313">
        <v>19695.593474246845</v>
      </c>
      <c r="N53" s="314">
        <v>19633.968598869502</v>
      </c>
      <c r="O53" s="31">
        <v>19515.50264131006</v>
      </c>
      <c r="P53" s="31">
        <v>19383.62624024813</v>
      </c>
      <c r="Q53" s="31">
        <v>19194.437788960284</v>
      </c>
      <c r="R53" s="31">
        <v>19053.561342380926</v>
      </c>
      <c r="S53" s="31">
        <v>14318.449510900748</v>
      </c>
      <c r="T53" s="31">
        <v>13318.232930593796</v>
      </c>
      <c r="U53" s="31">
        <v>12873.05113801828</v>
      </c>
      <c r="V53" s="31">
        <v>12481.193470473736</v>
      </c>
      <c r="W53" s="31">
        <v>19099.964367628716</v>
      </c>
      <c r="X53" s="31">
        <v>0</v>
      </c>
      <c r="Y53" s="31">
        <v>0</v>
      </c>
    </row>
    <row r="54" spans="1:25">
      <c r="D54" s="34"/>
      <c r="E54" s="250"/>
    </row>
    <row r="55" spans="1:25">
      <c r="A55" s="29" t="s">
        <v>437</v>
      </c>
      <c r="D55" s="34"/>
      <c r="E55" s="250"/>
    </row>
    <row r="56" spans="1:25">
      <c r="D56" s="34"/>
      <c r="E56" s="250"/>
    </row>
    <row r="57" spans="1:25">
      <c r="A57" s="254" t="s">
        <v>379</v>
      </c>
      <c r="B57" s="255">
        <v>58331.627058264676</v>
      </c>
      <c r="D57" s="256"/>
      <c r="E57" s="256"/>
      <c r="F57" s="256"/>
      <c r="G57" s="256"/>
      <c r="H57" s="256"/>
      <c r="I57" s="256"/>
      <c r="J57" s="256"/>
      <c r="K57" s="256"/>
      <c r="L57" s="256"/>
      <c r="M57" s="256"/>
      <c r="N57" s="256"/>
      <c r="O57" s="256"/>
      <c r="P57" s="256"/>
      <c r="Q57" s="256"/>
      <c r="R57" s="256"/>
      <c r="S57" s="256"/>
      <c r="T57" s="256"/>
      <c r="U57" s="256"/>
      <c r="V57" s="256"/>
      <c r="W57" s="256"/>
    </row>
    <row r="58" spans="1:25">
      <c r="A58" s="257" t="s">
        <v>380</v>
      </c>
      <c r="B58" s="258">
        <v>95767.432353377677</v>
      </c>
      <c r="D58" s="256"/>
      <c r="E58" s="256"/>
      <c r="F58" s="256"/>
      <c r="G58" s="256"/>
      <c r="H58" s="256"/>
      <c r="I58" s="256"/>
      <c r="J58" s="256"/>
      <c r="K58" s="256"/>
      <c r="L58" s="256"/>
      <c r="M58" s="256"/>
      <c r="N58" s="256"/>
      <c r="O58" s="256"/>
      <c r="P58" s="256"/>
      <c r="Q58" s="256"/>
      <c r="R58" s="256"/>
      <c r="S58" s="256"/>
      <c r="T58" s="256"/>
      <c r="U58" s="256"/>
      <c r="V58" s="256"/>
      <c r="W58" s="256"/>
    </row>
    <row r="59" spans="1:25">
      <c r="A59" s="259" t="s">
        <v>383</v>
      </c>
      <c r="B59" s="304" t="s">
        <v>483</v>
      </c>
      <c r="C59" s="304" t="s">
        <v>484</v>
      </c>
      <c r="D59" s="306">
        <v>2000</v>
      </c>
      <c r="E59" s="307">
        <v>2001</v>
      </c>
      <c r="F59" s="307">
        <v>2002</v>
      </c>
      <c r="G59" s="307">
        <v>2003</v>
      </c>
      <c r="H59" s="307">
        <v>2004</v>
      </c>
      <c r="I59" s="307">
        <v>2005</v>
      </c>
      <c r="J59" s="307">
        <v>2006</v>
      </c>
      <c r="K59" s="307">
        <v>2007</v>
      </c>
      <c r="L59" s="307">
        <v>2008</v>
      </c>
      <c r="M59" s="307">
        <v>2009</v>
      </c>
      <c r="N59" s="308">
        <v>2010</v>
      </c>
      <c r="O59" s="256">
        <v>2011</v>
      </c>
      <c r="P59" s="256">
        <v>2012</v>
      </c>
      <c r="Q59" s="256">
        <v>2013</v>
      </c>
      <c r="R59" s="256">
        <v>2014</v>
      </c>
      <c r="S59" s="256">
        <v>2015</v>
      </c>
      <c r="T59" s="256">
        <v>2016</v>
      </c>
      <c r="U59" s="256">
        <v>2017</v>
      </c>
      <c r="V59" s="256">
        <v>2018</v>
      </c>
      <c r="W59" s="256">
        <v>2019</v>
      </c>
      <c r="X59" s="256">
        <v>2020</v>
      </c>
      <c r="Y59" s="256">
        <v>2021</v>
      </c>
    </row>
    <row r="60" spans="1:25">
      <c r="A60" s="259" t="s">
        <v>381</v>
      </c>
      <c r="B60" s="305">
        <f>NPV(0.1,D60:Y60)</f>
        <v>560779.2720304589</v>
      </c>
      <c r="C60" s="305">
        <f>B60-B50</f>
        <v>0</v>
      </c>
      <c r="D60" s="309">
        <v>32832.330519950003</v>
      </c>
      <c r="E60" s="310">
        <v>45948.831511700009</v>
      </c>
      <c r="F60" s="310">
        <v>46302.639385400005</v>
      </c>
      <c r="G60" s="310">
        <v>58642.20151382943</v>
      </c>
      <c r="H60" s="310">
        <v>68535.883289146179</v>
      </c>
      <c r="I60" s="310">
        <v>69912.486379192036</v>
      </c>
      <c r="J60" s="310">
        <v>71068.04109758533</v>
      </c>
      <c r="K60" s="310">
        <v>72352.954964608216</v>
      </c>
      <c r="L60" s="310">
        <v>73764.111448257754</v>
      </c>
      <c r="M60" s="310">
        <v>75306.588420694563</v>
      </c>
      <c r="N60" s="311">
        <v>77015.385599071335</v>
      </c>
      <c r="O60" s="31">
        <v>79087.679995917104</v>
      </c>
      <c r="P60" s="31">
        <v>81341.414994061211</v>
      </c>
      <c r="Q60" s="31">
        <v>83693.543501098597</v>
      </c>
      <c r="R60" s="31">
        <v>86135.908901124392</v>
      </c>
      <c r="S60" s="31">
        <v>88626.595636491111</v>
      </c>
      <c r="T60" s="31">
        <v>90748.623840660861</v>
      </c>
      <c r="U60" s="31">
        <v>93097.482915289831</v>
      </c>
      <c r="V60" s="31">
        <v>95133.920756891792</v>
      </c>
      <c r="W60" s="31">
        <v>97164.542943064371</v>
      </c>
      <c r="X60" s="31">
        <v>23377.132224294623</v>
      </c>
      <c r="Y60" s="31">
        <v>0</v>
      </c>
    </row>
    <row r="61" spans="1:25">
      <c r="A61" s="260" t="s">
        <v>382</v>
      </c>
      <c r="B61" s="305">
        <f>NPV(0.1,D61:Y61)</f>
        <v>237339.39715178398</v>
      </c>
      <c r="C61" s="305">
        <f>B61-B51</f>
        <v>0</v>
      </c>
      <c r="D61" s="309">
        <v>19632.005713283335</v>
      </c>
      <c r="E61" s="310">
        <v>23863.702022976959</v>
      </c>
      <c r="F61" s="310">
        <v>24296.949834060964</v>
      </c>
      <c r="G61" s="310">
        <v>24643.981047696478</v>
      </c>
      <c r="H61" s="310">
        <v>25076.472494797064</v>
      </c>
      <c r="I61" s="310">
        <v>25548.980717419436</v>
      </c>
      <c r="J61" s="310">
        <v>26167.654656966224</v>
      </c>
      <c r="K61" s="310">
        <v>26923.771816605418</v>
      </c>
      <c r="L61" s="310">
        <v>27815.183901322787</v>
      </c>
      <c r="M61" s="310">
        <v>28791.963127005452</v>
      </c>
      <c r="N61" s="311">
        <v>30002.230686239345</v>
      </c>
      <c r="O61" s="31">
        <v>31401.310100423245</v>
      </c>
      <c r="P61" s="31">
        <v>32984.06839722467</v>
      </c>
      <c r="Q61" s="31">
        <v>34612.173962784895</v>
      </c>
      <c r="R61" s="31">
        <v>36390.302192165691</v>
      </c>
      <c r="S61" s="31">
        <v>38221.339677849894</v>
      </c>
      <c r="T61" s="31">
        <v>40122.646338331637</v>
      </c>
      <c r="U61" s="31">
        <v>42227.149513813587</v>
      </c>
      <c r="V61" s="31">
        <v>44109.788595214763</v>
      </c>
      <c r="W61" s="31">
        <v>46023.38589201196</v>
      </c>
      <c r="X61" s="31">
        <v>0</v>
      </c>
      <c r="Y61" s="31">
        <v>0</v>
      </c>
    </row>
    <row r="62" spans="1:25">
      <c r="A62" s="260" t="s">
        <v>35</v>
      </c>
      <c r="B62" s="305">
        <f>NPV(0.1,D62:Y62)</f>
        <v>100949.79442415255</v>
      </c>
      <c r="C62" s="305">
        <f>B62-B52</f>
        <v>577.49146632908378</v>
      </c>
      <c r="D62" s="309">
        <v>282.9878083163054</v>
      </c>
      <c r="E62" s="310">
        <v>193.99604628756779</v>
      </c>
      <c r="F62" s="310">
        <v>208.73352871005378</v>
      </c>
      <c r="G62" s="310">
        <v>7678.8460186440661</v>
      </c>
      <c r="H62" s="310">
        <v>13553.23398959605</v>
      </c>
      <c r="I62" s="310">
        <v>14479.892911318278</v>
      </c>
      <c r="J62" s="310">
        <v>15168.148657862544</v>
      </c>
      <c r="K62" s="310">
        <v>15738.803733039431</v>
      </c>
      <c r="L62" s="310">
        <v>16364.533975183367</v>
      </c>
      <c r="M62" s="310">
        <v>17052.921706143727</v>
      </c>
      <c r="N62" s="311">
        <v>17737.603055124815</v>
      </c>
      <c r="O62" s="31">
        <v>18537.493469292254</v>
      </c>
      <c r="P62" s="31">
        <v>19414.581821918124</v>
      </c>
      <c r="Q62" s="31">
        <v>20374.283327733687</v>
      </c>
      <c r="R62" s="31">
        <v>21351.797510663746</v>
      </c>
      <c r="S62" s="31">
        <v>22347.967796594821</v>
      </c>
      <c r="T62" s="31">
        <v>23171.559010023124</v>
      </c>
      <c r="U62" s="31">
        <v>24068.600797694209</v>
      </c>
      <c r="V62" s="31">
        <v>24973.590340657644</v>
      </c>
      <c r="W62" s="31">
        <v>25677.043536019344</v>
      </c>
      <c r="X62" s="31">
        <v>0</v>
      </c>
      <c r="Y62" s="31">
        <v>0</v>
      </c>
    </row>
    <row r="63" spans="1:25">
      <c r="A63" s="260" t="s">
        <v>32</v>
      </c>
      <c r="B63" s="305">
        <f>NPV(0.1,D63:Y63)</f>
        <v>138735.20691752079</v>
      </c>
      <c r="C63" s="305">
        <f>B63-B53</f>
        <v>-527.93326020793756</v>
      </c>
      <c r="D63" s="312">
        <v>4599.2946493354284</v>
      </c>
      <c r="E63" s="313">
        <v>8176.2918546757737</v>
      </c>
      <c r="F63" s="313">
        <v>7693.7449935504201</v>
      </c>
      <c r="G63" s="313">
        <v>20741.339109984612</v>
      </c>
      <c r="H63" s="313">
        <v>26429.517091527523</v>
      </c>
      <c r="I63" s="313">
        <v>26357.31331897145</v>
      </c>
      <c r="J63" s="313">
        <v>19874.761698134789</v>
      </c>
      <c r="K63" s="313">
        <v>19815.011260439474</v>
      </c>
      <c r="L63" s="313">
        <v>19745.741962967615</v>
      </c>
      <c r="M63" s="313">
        <v>19626.906649291304</v>
      </c>
      <c r="N63" s="314">
        <v>19565.40325259474</v>
      </c>
      <c r="O63" s="31">
        <v>19446.815816354516</v>
      </c>
      <c r="P63" s="31">
        <v>19315.060893973372</v>
      </c>
      <c r="Q63" s="31">
        <v>19125.750964004743</v>
      </c>
      <c r="R63" s="31">
        <v>18984.995996106169</v>
      </c>
      <c r="S63" s="31">
        <v>14312.567163910087</v>
      </c>
      <c r="T63" s="31">
        <v>13321.340005981088</v>
      </c>
      <c r="U63" s="31">
        <v>12876.158213405572</v>
      </c>
      <c r="V63" s="31">
        <v>12484.300545861028</v>
      </c>
      <c r="W63" s="31">
        <v>19103.071443016004</v>
      </c>
      <c r="X63" s="31">
        <v>0</v>
      </c>
      <c r="Y63" s="31">
        <v>0</v>
      </c>
    </row>
    <row r="64" spans="1:25">
      <c r="D64" s="34"/>
      <c r="E64" s="250"/>
    </row>
    <row r="65" spans="1:25">
      <c r="A65" s="29" t="s">
        <v>446</v>
      </c>
      <c r="D65" s="34"/>
      <c r="E65" s="250"/>
    </row>
    <row r="66" spans="1:25">
      <c r="A66" s="261">
        <v>36221</v>
      </c>
      <c r="D66" s="34"/>
      <c r="E66" s="250"/>
    </row>
    <row r="67" spans="1:25">
      <c r="A67" s="254" t="s">
        <v>379</v>
      </c>
      <c r="B67" s="255">
        <v>58331.627058264654</v>
      </c>
      <c r="D67" s="256"/>
      <c r="E67" s="256"/>
      <c r="F67" s="256"/>
      <c r="G67" s="256"/>
      <c r="H67" s="256"/>
      <c r="I67" s="256"/>
      <c r="J67" s="256"/>
      <c r="K67" s="256"/>
      <c r="L67" s="256"/>
      <c r="M67" s="256"/>
      <c r="N67" s="256"/>
      <c r="O67" s="256"/>
      <c r="P67" s="256"/>
      <c r="Q67" s="256"/>
      <c r="R67" s="256"/>
      <c r="S67" s="256"/>
      <c r="T67" s="256"/>
      <c r="U67" s="256"/>
      <c r="V67" s="256"/>
      <c r="W67" s="256"/>
    </row>
    <row r="68" spans="1:25">
      <c r="A68" s="257" t="s">
        <v>380</v>
      </c>
      <c r="B68" s="258">
        <v>95767.432353377662</v>
      </c>
      <c r="D68" s="256"/>
      <c r="E68" s="256"/>
      <c r="F68" s="256"/>
      <c r="G68" s="256"/>
      <c r="H68" s="256"/>
      <c r="I68" s="256"/>
      <c r="J68" s="256"/>
      <c r="K68" s="256"/>
      <c r="L68" s="256"/>
      <c r="M68" s="256"/>
      <c r="N68" s="256"/>
      <c r="O68" s="256"/>
      <c r="P68" s="256"/>
      <c r="Q68" s="256"/>
      <c r="R68" s="256"/>
      <c r="S68" s="256"/>
      <c r="T68" s="256"/>
      <c r="U68" s="256"/>
      <c r="V68" s="256"/>
      <c r="W68" s="256"/>
    </row>
    <row r="69" spans="1:25">
      <c r="A69" s="259" t="s">
        <v>383</v>
      </c>
      <c r="B69" s="304" t="s">
        <v>483</v>
      </c>
      <c r="C69" s="304" t="s">
        <v>484</v>
      </c>
      <c r="D69" s="306">
        <v>2000</v>
      </c>
      <c r="E69" s="307">
        <v>2001</v>
      </c>
      <c r="F69" s="307">
        <v>2002</v>
      </c>
      <c r="G69" s="307">
        <v>2003</v>
      </c>
      <c r="H69" s="307">
        <v>2004</v>
      </c>
      <c r="I69" s="307">
        <v>2005</v>
      </c>
      <c r="J69" s="307">
        <v>2006</v>
      </c>
      <c r="K69" s="307">
        <v>2007</v>
      </c>
      <c r="L69" s="307">
        <v>2008</v>
      </c>
      <c r="M69" s="307">
        <v>2009</v>
      </c>
      <c r="N69" s="308">
        <v>2010</v>
      </c>
      <c r="O69" s="256">
        <v>2011</v>
      </c>
      <c r="P69" s="256">
        <v>2012</v>
      </c>
      <c r="Q69" s="256">
        <v>2013</v>
      </c>
      <c r="R69" s="256">
        <v>2014</v>
      </c>
      <c r="S69" s="256">
        <v>2015</v>
      </c>
      <c r="T69" s="256">
        <v>2016</v>
      </c>
      <c r="U69" s="256">
        <v>2017</v>
      </c>
      <c r="V69" s="256">
        <v>2018</v>
      </c>
      <c r="W69" s="256">
        <v>2019</v>
      </c>
      <c r="X69" s="256">
        <v>2020</v>
      </c>
      <c r="Y69" s="256">
        <v>2021</v>
      </c>
    </row>
    <row r="70" spans="1:25">
      <c r="A70" s="259" t="s">
        <v>381</v>
      </c>
      <c r="B70" s="305">
        <f>NPV(0.1,D70:Y70)</f>
        <v>562772.68177266128</v>
      </c>
      <c r="C70" s="305">
        <f>B70-B60</f>
        <v>1993.4097422023769</v>
      </c>
      <c r="D70" s="309">
        <v>33018.982002800003</v>
      </c>
      <c r="E70" s="310">
        <v>46145.704297855569</v>
      </c>
      <c r="F70" s="310">
        <v>46505.418355140231</v>
      </c>
      <c r="G70" s="310">
        <v>58851.063852661864</v>
      </c>
      <c r="H70" s="310">
        <v>68751.011498143591</v>
      </c>
      <c r="I70" s="310">
        <v>70134.06843445939</v>
      </c>
      <c r="J70" s="310">
        <v>71296.270614510679</v>
      </c>
      <c r="K70" s="310">
        <v>72588.031367041345</v>
      </c>
      <c r="L70" s="310">
        <v>74006.240142763854</v>
      </c>
      <c r="M70" s="310">
        <v>75555.980976035862</v>
      </c>
      <c r="N70" s="311">
        <v>77272.259931072869</v>
      </c>
      <c r="O70" s="31">
        <v>79352.26055787869</v>
      </c>
      <c r="P70" s="31">
        <v>81613.932972881623</v>
      </c>
      <c r="Q70" s="31">
        <v>83974.237019283639</v>
      </c>
      <c r="R70" s="31">
        <v>86425.023224854973</v>
      </c>
      <c r="S70" s="31">
        <v>88924.383389933631</v>
      </c>
      <c r="T70" s="31">
        <v>91055.345226706646</v>
      </c>
      <c r="U70" s="31">
        <v>93413.405942916987</v>
      </c>
      <c r="V70" s="31">
        <v>95459.321475347751</v>
      </c>
      <c r="W70" s="31">
        <v>97499.705683074018</v>
      </c>
      <c r="X70" s="31">
        <v>23377.132224294623</v>
      </c>
      <c r="Y70" s="31">
        <v>0</v>
      </c>
    </row>
    <row r="71" spans="1:25">
      <c r="A71" s="260" t="s">
        <v>382</v>
      </c>
      <c r="B71" s="305">
        <f>NPV(0.1,D71:Y71)</f>
        <v>239594.24403032227</v>
      </c>
      <c r="C71" s="305">
        <f>B71-B61</f>
        <v>2254.8468785382865</v>
      </c>
      <c r="D71" s="309">
        <v>19818.657196133336</v>
      </c>
      <c r="E71" s="310">
        <v>24060.574809132526</v>
      </c>
      <c r="F71" s="310">
        <v>24499.728803801194</v>
      </c>
      <c r="G71" s="310">
        <v>24852.843386528919</v>
      </c>
      <c r="H71" s="310">
        <v>25291.600703794476</v>
      </c>
      <c r="I71" s="310">
        <v>25770.562772686768</v>
      </c>
      <c r="J71" s="310">
        <v>26395.88417389158</v>
      </c>
      <c r="K71" s="310">
        <v>27158.848219038533</v>
      </c>
      <c r="L71" s="310">
        <v>28057.312595828895</v>
      </c>
      <c r="M71" s="310">
        <v>29041.355682346744</v>
      </c>
      <c r="N71" s="311">
        <v>30259.105018240873</v>
      </c>
      <c r="O71" s="31">
        <v>31665.890662384823</v>
      </c>
      <c r="P71" s="31">
        <v>33256.586376045096</v>
      </c>
      <c r="Q71" s="31">
        <v>34892.86748096993</v>
      </c>
      <c r="R71" s="31">
        <v>36679.416515896279</v>
      </c>
      <c r="S71" s="31">
        <v>38519.127431292392</v>
      </c>
      <c r="T71" s="31">
        <v>40429.367724377415</v>
      </c>
      <c r="U71" s="31">
        <v>42543.072541440742</v>
      </c>
      <c r="V71" s="31">
        <v>44435.189313670729</v>
      </c>
      <c r="W71" s="31">
        <v>46358.548632021608</v>
      </c>
      <c r="X71" s="31">
        <v>1934.7001535959696</v>
      </c>
      <c r="Y71" s="31">
        <v>0</v>
      </c>
    </row>
    <row r="72" spans="1:25">
      <c r="A72" s="260" t="s">
        <v>35</v>
      </c>
      <c r="B72" s="305">
        <f>NPV(0.1,D72:Y72)</f>
        <v>100949.79442415255</v>
      </c>
      <c r="C72" s="305">
        <f>B72-B62</f>
        <v>0</v>
      </c>
      <c r="D72" s="309">
        <v>282.9878083163054</v>
      </c>
      <c r="E72" s="310">
        <v>193.99604628756327</v>
      </c>
      <c r="F72" s="310">
        <v>208.73352871005153</v>
      </c>
      <c r="G72" s="310">
        <v>7678.8460186440616</v>
      </c>
      <c r="H72" s="310">
        <v>13553.233989596047</v>
      </c>
      <c r="I72" s="310">
        <v>14479.892911318289</v>
      </c>
      <c r="J72" s="310">
        <v>15168.148657862541</v>
      </c>
      <c r="K72" s="310">
        <v>15738.803733039438</v>
      </c>
      <c r="L72" s="310">
        <v>16364.533975183364</v>
      </c>
      <c r="M72" s="310">
        <v>17052.92170614373</v>
      </c>
      <c r="N72" s="311">
        <v>17737.603055124819</v>
      </c>
      <c r="O72" s="31">
        <v>18537.493469292262</v>
      </c>
      <c r="P72" s="31">
        <v>19414.581821918116</v>
      </c>
      <c r="Q72" s="31">
        <v>20374.28332773369</v>
      </c>
      <c r="R72" s="31">
        <v>21351.797510663739</v>
      </c>
      <c r="S72" s="31">
        <v>22347.967796594836</v>
      </c>
      <c r="T72" s="31">
        <v>23171.559010023124</v>
      </c>
      <c r="U72" s="31">
        <v>24068.600797694209</v>
      </c>
      <c r="V72" s="31">
        <v>24973.59034065764</v>
      </c>
      <c r="W72" s="31">
        <v>25677.043536019344</v>
      </c>
      <c r="X72" s="31">
        <v>0</v>
      </c>
      <c r="Y72" s="31">
        <v>0</v>
      </c>
    </row>
    <row r="73" spans="1:25">
      <c r="A73" s="260" t="s">
        <v>32</v>
      </c>
      <c r="B73" s="305">
        <f>NPV(0.1,D73:Y73)</f>
        <v>138735.20691752079</v>
      </c>
      <c r="C73" s="305">
        <f>B73-B63</f>
        <v>0</v>
      </c>
      <c r="D73" s="312">
        <v>4599.2946493354284</v>
      </c>
      <c r="E73" s="313">
        <v>8176.2918546757701</v>
      </c>
      <c r="F73" s="313">
        <v>7693.7449935504146</v>
      </c>
      <c r="G73" s="313">
        <v>20741.339109984605</v>
      </c>
      <c r="H73" s="313">
        <v>26429.517091527523</v>
      </c>
      <c r="I73" s="313">
        <v>26357.313318971457</v>
      </c>
      <c r="J73" s="313">
        <v>19874.761698134789</v>
      </c>
      <c r="K73" s="313">
        <v>19815.011260439467</v>
      </c>
      <c r="L73" s="313">
        <v>19745.741962967615</v>
      </c>
      <c r="M73" s="313">
        <v>19626.906649291315</v>
      </c>
      <c r="N73" s="314">
        <v>19565.403252594737</v>
      </c>
      <c r="O73" s="31">
        <v>19446.815816354523</v>
      </c>
      <c r="P73" s="31">
        <v>19315.060893973368</v>
      </c>
      <c r="Q73" s="31">
        <v>19125.750964004743</v>
      </c>
      <c r="R73" s="31">
        <v>18984.995996106169</v>
      </c>
      <c r="S73" s="31">
        <v>14312.567163910093</v>
      </c>
      <c r="T73" s="31">
        <v>13321.340005981085</v>
      </c>
      <c r="U73" s="31">
        <v>12876.158213405575</v>
      </c>
      <c r="V73" s="31">
        <v>12484.300545861024</v>
      </c>
      <c r="W73" s="31">
        <v>19103.071443015997</v>
      </c>
      <c r="X73" s="31">
        <v>0</v>
      </c>
      <c r="Y73" s="31">
        <v>0</v>
      </c>
    </row>
    <row r="74" spans="1:25">
      <c r="D74" s="34"/>
      <c r="E74" s="250"/>
    </row>
    <row r="75" spans="1:25">
      <c r="A75" s="29" t="s">
        <v>447</v>
      </c>
      <c r="D75" s="34"/>
      <c r="E75" s="250"/>
    </row>
    <row r="76" spans="1:25">
      <c r="A76" s="261">
        <v>36221</v>
      </c>
      <c r="D76" s="34"/>
      <c r="E76" s="250"/>
    </row>
    <row r="77" spans="1:25">
      <c r="A77" s="254" t="s">
        <v>379</v>
      </c>
      <c r="B77" s="255">
        <v>55874.437518261955</v>
      </c>
      <c r="D77" s="256"/>
      <c r="E77" s="256"/>
      <c r="F77" s="256"/>
      <c r="G77" s="256"/>
      <c r="H77" s="256"/>
      <c r="I77" s="256"/>
      <c r="J77" s="256"/>
      <c r="K77" s="256"/>
      <c r="L77" s="256"/>
      <c r="M77" s="256"/>
      <c r="N77" s="256"/>
      <c r="O77" s="256"/>
      <c r="P77" s="256"/>
      <c r="Q77" s="256"/>
      <c r="R77" s="256"/>
      <c r="S77" s="256"/>
      <c r="T77" s="256"/>
      <c r="U77" s="256"/>
      <c r="V77" s="256"/>
      <c r="W77" s="256"/>
    </row>
    <row r="78" spans="1:25">
      <c r="A78" s="257" t="s">
        <v>380</v>
      </c>
      <c r="B78" s="258">
        <v>92619.410596319038</v>
      </c>
      <c r="D78" s="256"/>
      <c r="E78" s="256"/>
      <c r="F78" s="256"/>
      <c r="G78" s="256"/>
      <c r="H78" s="256"/>
      <c r="I78" s="256"/>
      <c r="J78" s="256"/>
      <c r="K78" s="256"/>
      <c r="L78" s="256"/>
      <c r="M78" s="256"/>
      <c r="N78" s="256"/>
      <c r="O78" s="256"/>
      <c r="P78" s="256"/>
      <c r="Q78" s="256"/>
      <c r="R78" s="256"/>
      <c r="S78" s="256"/>
      <c r="T78" s="256"/>
      <c r="U78" s="256"/>
      <c r="V78" s="256"/>
      <c r="W78" s="256"/>
    </row>
    <row r="79" spans="1:25">
      <c r="A79" s="259" t="s">
        <v>383</v>
      </c>
      <c r="B79" s="304" t="s">
        <v>483</v>
      </c>
      <c r="C79" s="304" t="s">
        <v>484</v>
      </c>
      <c r="D79" s="306">
        <v>2000</v>
      </c>
      <c r="E79" s="307">
        <v>2001</v>
      </c>
      <c r="F79" s="307">
        <v>2002</v>
      </c>
      <c r="G79" s="307">
        <v>2003</v>
      </c>
      <c r="H79" s="307">
        <v>2004</v>
      </c>
      <c r="I79" s="307">
        <v>2005</v>
      </c>
      <c r="J79" s="307">
        <v>2006</v>
      </c>
      <c r="K79" s="307">
        <v>2007</v>
      </c>
      <c r="L79" s="307">
        <v>2008</v>
      </c>
      <c r="M79" s="307">
        <v>2009</v>
      </c>
      <c r="N79" s="308">
        <v>2010</v>
      </c>
      <c r="O79" s="256">
        <v>2011</v>
      </c>
      <c r="P79" s="256">
        <v>2012</v>
      </c>
      <c r="Q79" s="256">
        <v>2013</v>
      </c>
      <c r="R79" s="256">
        <v>2014</v>
      </c>
      <c r="S79" s="256">
        <v>2015</v>
      </c>
      <c r="T79" s="256">
        <v>2016</v>
      </c>
      <c r="U79" s="256">
        <v>2017</v>
      </c>
      <c r="V79" s="256">
        <v>2018</v>
      </c>
      <c r="W79" s="256">
        <v>2019</v>
      </c>
      <c r="X79" s="256">
        <v>2020</v>
      </c>
      <c r="Y79" s="256">
        <v>2021</v>
      </c>
    </row>
    <row r="80" spans="1:25">
      <c r="A80" s="259" t="s">
        <v>381</v>
      </c>
      <c r="B80" s="305">
        <f>NPV(0.1,D80:Y80)</f>
        <v>562772.68177266128</v>
      </c>
      <c r="C80" s="305">
        <f>B80-B70</f>
        <v>0</v>
      </c>
      <c r="D80" s="309">
        <v>33018.982002800003</v>
      </c>
      <c r="E80" s="310">
        <v>46145.704297855569</v>
      </c>
      <c r="F80" s="310">
        <v>46505.418355140231</v>
      </c>
      <c r="G80" s="310">
        <v>58851.063852661864</v>
      </c>
      <c r="H80" s="310">
        <v>68751.011498143591</v>
      </c>
      <c r="I80" s="310">
        <v>70134.06843445939</v>
      </c>
      <c r="J80" s="310">
        <v>71296.270614510679</v>
      </c>
      <c r="K80" s="310">
        <v>72588.031367041345</v>
      </c>
      <c r="L80" s="310">
        <v>74006.240142763854</v>
      </c>
      <c r="M80" s="310">
        <v>75555.980976035862</v>
      </c>
      <c r="N80" s="311">
        <v>77272.259931072869</v>
      </c>
      <c r="O80" s="31">
        <v>79352.26055787869</v>
      </c>
      <c r="P80" s="31">
        <v>81613.932972881623</v>
      </c>
      <c r="Q80" s="31">
        <v>83974.237019283639</v>
      </c>
      <c r="R80" s="31">
        <v>86425.023224854973</v>
      </c>
      <c r="S80" s="31">
        <v>88924.383389933631</v>
      </c>
      <c r="T80" s="31">
        <v>91055.345226706646</v>
      </c>
      <c r="U80" s="31">
        <v>93413.405942916987</v>
      </c>
      <c r="V80" s="31">
        <v>95459.321475347751</v>
      </c>
      <c r="W80" s="31">
        <v>97499.705683074018</v>
      </c>
      <c r="X80" s="31">
        <v>23377.132224294623</v>
      </c>
      <c r="Y80" s="31">
        <v>0</v>
      </c>
    </row>
    <row r="81" spans="1:25">
      <c r="A81" s="260" t="s">
        <v>382</v>
      </c>
      <c r="B81" s="305">
        <f>NPV(0.1,D81:Y81)</f>
        <v>242737.81740494151</v>
      </c>
      <c r="C81" s="305">
        <f>B81-B71</f>
        <v>3143.5733746192418</v>
      </c>
      <c r="D81" s="309">
        <v>19998.907196133336</v>
      </c>
      <c r="E81" s="310">
        <v>24378.844809132526</v>
      </c>
      <c r="F81" s="310">
        <v>24827.546903801194</v>
      </c>
      <c r="G81" s="310">
        <v>25190.496029528917</v>
      </c>
      <c r="H81" s="310">
        <v>25639.382926084476</v>
      </c>
      <c r="I81" s="310">
        <v>26128.778461645466</v>
      </c>
      <c r="J81" s="310">
        <v>26764.846333519043</v>
      </c>
      <c r="K81" s="310">
        <v>27538.879243454816</v>
      </c>
      <c r="L81" s="310">
        <v>28448.744550977666</v>
      </c>
      <c r="M81" s="310">
        <v>29444.53059614998</v>
      </c>
      <c r="N81" s="311">
        <v>30674.375179458206</v>
      </c>
      <c r="O81" s="31">
        <v>32093.618928438678</v>
      </c>
      <c r="P81" s="31">
        <v>33697.146490080566</v>
      </c>
      <c r="Q81" s="31">
        <v>35346.644398426462</v>
      </c>
      <c r="R81" s="31">
        <v>37146.806740876506</v>
      </c>
      <c r="S81" s="31">
        <v>39000.539363022035</v>
      </c>
      <c r="T81" s="31">
        <v>40925.222014058942</v>
      </c>
      <c r="U81" s="31">
        <v>43053.802459812709</v>
      </c>
      <c r="V81" s="31">
        <v>44961.241129593858</v>
      </c>
      <c r="W81" s="31">
        <v>46900.382002422433</v>
      </c>
      <c r="X81" s="31">
        <v>2167.2369750596563</v>
      </c>
      <c r="Y81" s="31">
        <v>0</v>
      </c>
    </row>
    <row r="82" spans="1:25">
      <c r="A82" s="260" t="s">
        <v>35</v>
      </c>
      <c r="B82" s="305">
        <f>NPV(0.1,D82:Y82)</f>
        <v>99536.439716113018</v>
      </c>
      <c r="C82" s="305">
        <f>B82-B72</f>
        <v>-1413.3547080395365</v>
      </c>
      <c r="D82" s="309">
        <v>218.81636013610537</v>
      </c>
      <c r="E82" s="310">
        <v>76.293256240834239</v>
      </c>
      <c r="F82" s="310">
        <v>81.317115400551543</v>
      </c>
      <c r="G82" s="310">
        <v>7540.9385580844291</v>
      </c>
      <c r="H82" s="310">
        <v>13408.291176961633</v>
      </c>
      <c r="I82" s="310">
        <v>14327.464745749077</v>
      </c>
      <c r="J82" s="310">
        <v>15007.752523248884</v>
      </c>
      <c r="K82" s="310">
        <v>15569.92189034669</v>
      </c>
      <c r="L82" s="310">
        <v>16186.610857208751</v>
      </c>
      <c r="M82" s="310">
        <v>16865.360998991575</v>
      </c>
      <c r="N82" s="311">
        <v>17539.764549431598</v>
      </c>
      <c r="O82" s="31">
        <v>18328.689662878485</v>
      </c>
      <c r="P82" s="31">
        <v>19194.074254081053</v>
      </c>
      <c r="Q82" s="31">
        <v>20141.278623815037</v>
      </c>
      <c r="R82" s="31">
        <v>21105.443113820191</v>
      </c>
      <c r="S82" s="31">
        <v>22087.347361856919</v>
      </c>
      <c r="T82" s="31">
        <v>22895.687433737759</v>
      </c>
      <c r="U82" s="31">
        <v>23776.4188532974</v>
      </c>
      <c r="V82" s="31">
        <v>24663.958889403075</v>
      </c>
      <c r="W82" s="31">
        <v>25351.691460922098</v>
      </c>
      <c r="X82" s="31">
        <v>0</v>
      </c>
      <c r="Y82" s="31">
        <v>0</v>
      </c>
    </row>
    <row r="83" spans="1:25">
      <c r="A83" s="260" t="s">
        <v>32</v>
      </c>
      <c r="B83" s="305">
        <f>NPV(0.1,D83:Y83)</f>
        <v>137790.03988336076</v>
      </c>
      <c r="C83" s="305">
        <f>B83-B73</f>
        <v>-945.16703416002565</v>
      </c>
      <c r="D83" s="312">
        <v>4536.4264535020939</v>
      </c>
      <c r="E83" s="313">
        <v>8065.427804675769</v>
      </c>
      <c r="F83" s="313">
        <v>7579.6982435504187</v>
      </c>
      <c r="G83" s="313">
        <v>20533.973474184611</v>
      </c>
      <c r="H83" s="313">
        <v>26216.073708153526</v>
      </c>
      <c r="I83" s="313">
        <v>26586.924570528587</v>
      </c>
      <c r="J83" s="313">
        <v>19745.858856847179</v>
      </c>
      <c r="K83" s="313">
        <v>19684.694559748106</v>
      </c>
      <c r="L83" s="313">
        <v>19614.154409941228</v>
      </c>
      <c r="M83" s="313">
        <v>19494.210375038761</v>
      </c>
      <c r="N83" s="314">
        <v>19431.781272692453</v>
      </c>
      <c r="O83" s="31">
        <v>19312.473939023297</v>
      </c>
      <c r="P83" s="31">
        <v>19180.229788031837</v>
      </c>
      <c r="Q83" s="31">
        <v>18990.688399595423</v>
      </c>
      <c r="R83" s="31">
        <v>18849.989272235915</v>
      </c>
      <c r="S83" s="31">
        <v>14177.935737976832</v>
      </c>
      <c r="T83" s="31">
        <v>13187.43834167923</v>
      </c>
      <c r="U83" s="31">
        <v>12743.378864720868</v>
      </c>
      <c r="V83" s="31">
        <v>12353.077496289727</v>
      </c>
      <c r="W83" s="31">
        <v>18870.747902821495</v>
      </c>
      <c r="X83" s="31">
        <v>0</v>
      </c>
      <c r="Y83" s="31">
        <v>0</v>
      </c>
    </row>
    <row r="84" spans="1:25">
      <c r="D84" s="34"/>
      <c r="E84" s="250"/>
    </row>
    <row r="85" spans="1:25">
      <c r="A85" s="29" t="s">
        <v>449</v>
      </c>
      <c r="D85" s="34"/>
      <c r="E85" s="250"/>
    </row>
    <row r="86" spans="1:25">
      <c r="A86" s="261">
        <v>36221</v>
      </c>
      <c r="D86" s="34"/>
      <c r="E86" s="250"/>
    </row>
    <row r="87" spans="1:25">
      <c r="A87" s="254" t="s">
        <v>379</v>
      </c>
      <c r="B87" s="255">
        <v>55874.437518261955</v>
      </c>
      <c r="D87" s="256"/>
      <c r="E87" s="256"/>
      <c r="F87" s="256"/>
      <c r="G87" s="256"/>
      <c r="H87" s="256"/>
      <c r="I87" s="256"/>
      <c r="J87" s="256"/>
      <c r="K87" s="256"/>
      <c r="L87" s="256"/>
      <c r="M87" s="256"/>
      <c r="N87" s="256"/>
      <c r="O87" s="256"/>
      <c r="P87" s="256"/>
      <c r="Q87" s="256"/>
      <c r="R87" s="256"/>
      <c r="S87" s="256"/>
      <c r="T87" s="256"/>
      <c r="U87" s="256"/>
      <c r="V87" s="256"/>
      <c r="W87" s="256"/>
    </row>
    <row r="88" spans="1:25">
      <c r="A88" s="257" t="s">
        <v>380</v>
      </c>
      <c r="B88" s="258">
        <v>92619.410596319038</v>
      </c>
      <c r="D88" s="256"/>
      <c r="E88" s="256"/>
      <c r="F88" s="256"/>
      <c r="G88" s="256"/>
      <c r="H88" s="256"/>
      <c r="I88" s="256"/>
      <c r="J88" s="256"/>
      <c r="K88" s="256"/>
      <c r="L88" s="256"/>
      <c r="M88" s="256"/>
      <c r="N88" s="256"/>
      <c r="O88" s="256"/>
      <c r="P88" s="256"/>
      <c r="Q88" s="256"/>
      <c r="R88" s="256"/>
      <c r="S88" s="256"/>
      <c r="T88" s="256"/>
      <c r="U88" s="256"/>
      <c r="V88" s="256"/>
      <c r="W88" s="256"/>
    </row>
    <row r="89" spans="1:25">
      <c r="A89" s="259" t="s">
        <v>383</v>
      </c>
      <c r="B89" s="304" t="s">
        <v>483</v>
      </c>
      <c r="C89" s="304" t="s">
        <v>484</v>
      </c>
      <c r="D89" s="306">
        <v>2000</v>
      </c>
      <c r="E89" s="307">
        <v>2001</v>
      </c>
      <c r="F89" s="307">
        <v>2002</v>
      </c>
      <c r="G89" s="307">
        <v>2003</v>
      </c>
      <c r="H89" s="307">
        <v>2004</v>
      </c>
      <c r="I89" s="307">
        <v>2005</v>
      </c>
      <c r="J89" s="307">
        <v>2006</v>
      </c>
      <c r="K89" s="307">
        <v>2007</v>
      </c>
      <c r="L89" s="307">
        <v>2008</v>
      </c>
      <c r="M89" s="307">
        <v>2009</v>
      </c>
      <c r="N89" s="308">
        <v>2010</v>
      </c>
      <c r="O89" s="256">
        <v>2011</v>
      </c>
      <c r="P89" s="256">
        <v>2012</v>
      </c>
      <c r="Q89" s="256">
        <v>2013</v>
      </c>
      <c r="R89" s="256">
        <v>2014</v>
      </c>
      <c r="S89" s="256">
        <v>2015</v>
      </c>
      <c r="T89" s="256">
        <v>2016</v>
      </c>
      <c r="U89" s="256">
        <v>2017</v>
      </c>
      <c r="V89" s="256">
        <v>2018</v>
      </c>
      <c r="W89" s="256">
        <v>2019</v>
      </c>
      <c r="X89" s="256">
        <v>2020</v>
      </c>
      <c r="Y89" s="256">
        <v>2021</v>
      </c>
    </row>
    <row r="90" spans="1:25">
      <c r="A90" s="259" t="s">
        <v>381</v>
      </c>
      <c r="B90" s="305">
        <f>NPV(0.1,D90:Y90)</f>
        <v>562772.68177266128</v>
      </c>
      <c r="C90" s="305">
        <f>B90-B80</f>
        <v>0</v>
      </c>
      <c r="D90" s="309">
        <v>33018.982002800003</v>
      </c>
      <c r="E90" s="310">
        <v>46145.704297855569</v>
      </c>
      <c r="F90" s="310">
        <v>46505.418355140231</v>
      </c>
      <c r="G90" s="310">
        <v>58851.063852661864</v>
      </c>
      <c r="H90" s="310">
        <v>68751.011498143591</v>
      </c>
      <c r="I90" s="310">
        <v>70134.06843445939</v>
      </c>
      <c r="J90" s="310">
        <v>71296.270614510679</v>
      </c>
      <c r="K90" s="310">
        <v>72588.031367041345</v>
      </c>
      <c r="L90" s="310">
        <v>74006.240142763854</v>
      </c>
      <c r="M90" s="310">
        <v>75555.980976035862</v>
      </c>
      <c r="N90" s="311">
        <v>77272.259931072869</v>
      </c>
      <c r="O90" s="31">
        <v>79352.26055787869</v>
      </c>
      <c r="P90" s="31">
        <v>81613.932972881623</v>
      </c>
      <c r="Q90" s="31">
        <v>83974.237019283639</v>
      </c>
      <c r="R90" s="31">
        <v>86425.023224854973</v>
      </c>
      <c r="S90" s="31">
        <v>88924.383389933631</v>
      </c>
      <c r="T90" s="31">
        <v>91055.345226706646</v>
      </c>
      <c r="U90" s="31">
        <v>93413.405942916987</v>
      </c>
      <c r="V90" s="31">
        <v>95459.321475347751</v>
      </c>
      <c r="W90" s="31">
        <v>97499.705683074018</v>
      </c>
      <c r="X90" s="31">
        <v>23377.132224294623</v>
      </c>
      <c r="Y90" s="31">
        <v>0</v>
      </c>
    </row>
    <row r="91" spans="1:25">
      <c r="A91" s="260" t="s">
        <v>382</v>
      </c>
      <c r="B91" s="305">
        <f>NPV(0.1,D91:Y91)</f>
        <v>242737.81740494151</v>
      </c>
      <c r="C91" s="305">
        <f>B91-B81</f>
        <v>0</v>
      </c>
      <c r="D91" s="309">
        <v>19998.907196133336</v>
      </c>
      <c r="E91" s="310">
        <v>24378.844809132526</v>
      </c>
      <c r="F91" s="310">
        <v>24827.546903801194</v>
      </c>
      <c r="G91" s="310">
        <v>25190.496029528917</v>
      </c>
      <c r="H91" s="310">
        <v>25639.382926084476</v>
      </c>
      <c r="I91" s="310">
        <v>26128.778461645466</v>
      </c>
      <c r="J91" s="310">
        <v>26764.846333519043</v>
      </c>
      <c r="K91" s="310">
        <v>27538.879243454816</v>
      </c>
      <c r="L91" s="310">
        <v>28448.744550977666</v>
      </c>
      <c r="M91" s="310">
        <v>29444.53059614998</v>
      </c>
      <c r="N91" s="311">
        <v>30674.375179458206</v>
      </c>
      <c r="O91" s="31">
        <v>32093.618928438678</v>
      </c>
      <c r="P91" s="31">
        <v>33697.146490080566</v>
      </c>
      <c r="Q91" s="31">
        <v>35346.644398426462</v>
      </c>
      <c r="R91" s="31">
        <v>37146.806740876506</v>
      </c>
      <c r="S91" s="31">
        <v>39000.539363022035</v>
      </c>
      <c r="T91" s="31">
        <v>40925.222014058942</v>
      </c>
      <c r="U91" s="31">
        <v>43053.802459812709</v>
      </c>
      <c r="V91" s="31">
        <v>44961.241129593858</v>
      </c>
      <c r="W91" s="31">
        <v>46900.382002422433</v>
      </c>
      <c r="X91" s="31">
        <v>2167.2369750596563</v>
      </c>
      <c r="Y91" s="31">
        <v>0</v>
      </c>
    </row>
    <row r="92" spans="1:25">
      <c r="A92" s="260" t="s">
        <v>35</v>
      </c>
      <c r="B92" s="305">
        <f>NPV(0.1,D92:Y92)</f>
        <v>99453.063391476157</v>
      </c>
      <c r="C92" s="305">
        <f>B92-B82</f>
        <v>-83.376324636861682</v>
      </c>
      <c r="D92" s="309">
        <v>-191.13863986389467</v>
      </c>
      <c r="E92" s="310">
        <v>169.11325624083423</v>
      </c>
      <c r="F92" s="310">
        <v>174.13711540055155</v>
      </c>
      <c r="G92" s="310">
        <v>7633.7585580844288</v>
      </c>
      <c r="H92" s="310">
        <v>13501.111176961633</v>
      </c>
      <c r="I92" s="310">
        <v>14366.139745749077</v>
      </c>
      <c r="J92" s="310">
        <v>15007.752523248884</v>
      </c>
      <c r="K92" s="310">
        <v>15569.92189034669</v>
      </c>
      <c r="L92" s="310">
        <v>16186.610857208751</v>
      </c>
      <c r="M92" s="310">
        <v>16865.360998991575</v>
      </c>
      <c r="N92" s="311">
        <v>17539.764549431598</v>
      </c>
      <c r="O92" s="31">
        <v>18328.689662878485</v>
      </c>
      <c r="P92" s="31">
        <v>19194.074254081053</v>
      </c>
      <c r="Q92" s="31">
        <v>20141.278623815037</v>
      </c>
      <c r="R92" s="31">
        <v>21105.443113820191</v>
      </c>
      <c r="S92" s="31">
        <v>22087.347361856919</v>
      </c>
      <c r="T92" s="31">
        <v>22895.687433737759</v>
      </c>
      <c r="U92" s="31">
        <v>23776.4188532974</v>
      </c>
      <c r="V92" s="31">
        <v>24663.958889403075</v>
      </c>
      <c r="W92" s="31">
        <v>25351.691460922098</v>
      </c>
      <c r="X92" s="31">
        <v>0</v>
      </c>
      <c r="Y92" s="31">
        <v>0</v>
      </c>
    </row>
    <row r="93" spans="1:25">
      <c r="A93" s="260" t="s">
        <v>32</v>
      </c>
      <c r="B93" s="305">
        <f>NPV(0.1,D93:Y93)</f>
        <v>137790.03988336076</v>
      </c>
      <c r="C93" s="305">
        <f>B93-B83</f>
        <v>0</v>
      </c>
      <c r="D93" s="312">
        <v>4536.4264535020939</v>
      </c>
      <c r="E93" s="313">
        <v>8065.427804675769</v>
      </c>
      <c r="F93" s="313">
        <v>7579.6982435504187</v>
      </c>
      <c r="G93" s="313">
        <v>20533.973474184611</v>
      </c>
      <c r="H93" s="313">
        <v>26216.073708153526</v>
      </c>
      <c r="I93" s="313">
        <v>26586.924570528587</v>
      </c>
      <c r="J93" s="313">
        <v>19745.858856847179</v>
      </c>
      <c r="K93" s="313">
        <v>19684.694559748106</v>
      </c>
      <c r="L93" s="313">
        <v>19614.154409941228</v>
      </c>
      <c r="M93" s="313">
        <v>19494.210375038761</v>
      </c>
      <c r="N93" s="314">
        <v>19431.781272692453</v>
      </c>
      <c r="O93" s="31">
        <v>19312.473939023297</v>
      </c>
      <c r="P93" s="31">
        <v>19180.229788031837</v>
      </c>
      <c r="Q93" s="31">
        <v>18990.688399595423</v>
      </c>
      <c r="R93" s="31">
        <v>18849.989272235915</v>
      </c>
      <c r="S93" s="31">
        <v>14177.935737976832</v>
      </c>
      <c r="T93" s="31">
        <v>13187.43834167923</v>
      </c>
      <c r="U93" s="31">
        <v>12743.378864720868</v>
      </c>
      <c r="V93" s="31">
        <v>12353.077496289727</v>
      </c>
      <c r="W93" s="31">
        <v>18870.747902821495</v>
      </c>
      <c r="X93" s="31">
        <v>0</v>
      </c>
      <c r="Y93" s="31">
        <v>0</v>
      </c>
    </row>
    <row r="94" spans="1:25">
      <c r="D94" s="34"/>
      <c r="E94" s="250"/>
    </row>
    <row r="95" spans="1:25">
      <c r="A95" s="29" t="s">
        <v>452</v>
      </c>
      <c r="D95" s="34"/>
      <c r="E95" s="250"/>
    </row>
    <row r="96" spans="1:25">
      <c r="D96" s="34"/>
      <c r="E96" s="250"/>
    </row>
    <row r="97" spans="1:25">
      <c r="A97" s="254" t="s">
        <v>379</v>
      </c>
      <c r="B97" s="255">
        <v>55874.437518261955</v>
      </c>
      <c r="D97" s="256"/>
      <c r="E97" s="256"/>
      <c r="F97" s="256"/>
      <c r="G97" s="256"/>
      <c r="H97" s="256"/>
      <c r="I97" s="256"/>
      <c r="J97" s="256"/>
      <c r="K97" s="256"/>
      <c r="L97" s="256"/>
      <c r="M97" s="256"/>
      <c r="N97" s="256"/>
      <c r="O97" s="256"/>
      <c r="P97" s="256"/>
      <c r="Q97" s="256"/>
      <c r="R97" s="256"/>
      <c r="S97" s="256"/>
      <c r="T97" s="256"/>
      <c r="U97" s="256"/>
      <c r="V97" s="256"/>
      <c r="W97" s="256"/>
    </row>
    <row r="98" spans="1:25">
      <c r="A98" s="257" t="s">
        <v>380</v>
      </c>
      <c r="B98" s="258">
        <v>92619.410596319023</v>
      </c>
      <c r="D98" s="256"/>
      <c r="E98" s="256"/>
      <c r="F98" s="256"/>
      <c r="G98" s="256"/>
      <c r="H98" s="256"/>
      <c r="I98" s="256"/>
      <c r="J98" s="256"/>
      <c r="K98" s="256"/>
      <c r="L98" s="256"/>
      <c r="M98" s="256"/>
      <c r="N98" s="256"/>
      <c r="O98" s="256"/>
      <c r="P98" s="256"/>
      <c r="Q98" s="256"/>
      <c r="R98" s="256"/>
      <c r="S98" s="256"/>
      <c r="T98" s="256"/>
      <c r="U98" s="256"/>
      <c r="V98" s="256"/>
      <c r="W98" s="256"/>
    </row>
    <row r="99" spans="1:25">
      <c r="A99" s="259" t="s">
        <v>383</v>
      </c>
      <c r="B99" s="304" t="s">
        <v>483</v>
      </c>
      <c r="C99" s="304" t="s">
        <v>484</v>
      </c>
      <c r="D99" s="306">
        <v>2000</v>
      </c>
      <c r="E99" s="307">
        <v>2001</v>
      </c>
      <c r="F99" s="307">
        <v>2002</v>
      </c>
      <c r="G99" s="307">
        <v>2003</v>
      </c>
      <c r="H99" s="307">
        <v>2004</v>
      </c>
      <c r="I99" s="307">
        <v>2005</v>
      </c>
      <c r="J99" s="307">
        <v>2006</v>
      </c>
      <c r="K99" s="307">
        <v>2007</v>
      </c>
      <c r="L99" s="307">
        <v>2008</v>
      </c>
      <c r="M99" s="307">
        <v>2009</v>
      </c>
      <c r="N99" s="308">
        <v>2010</v>
      </c>
      <c r="O99" s="256">
        <v>2011</v>
      </c>
      <c r="P99" s="256">
        <v>2012</v>
      </c>
      <c r="Q99" s="256">
        <v>2013</v>
      </c>
      <c r="R99" s="256">
        <v>2014</v>
      </c>
      <c r="S99" s="256">
        <v>2015</v>
      </c>
      <c r="T99" s="256">
        <v>2016</v>
      </c>
      <c r="U99" s="256">
        <v>2017</v>
      </c>
      <c r="V99" s="256">
        <v>2018</v>
      </c>
      <c r="W99" s="256">
        <v>2019</v>
      </c>
      <c r="X99" s="256">
        <v>2020</v>
      </c>
      <c r="Y99" s="256">
        <v>2021</v>
      </c>
    </row>
    <row r="100" spans="1:25">
      <c r="A100" s="259" t="s">
        <v>381</v>
      </c>
      <c r="B100" s="305">
        <f>NPV(0.1,D100:Y100)</f>
        <v>562277.20544354699</v>
      </c>
      <c r="C100" s="305">
        <f>B100-B90</f>
        <v>-495.47632911428809</v>
      </c>
      <c r="D100" s="309">
        <v>32983.897333983332</v>
      </c>
      <c r="E100" s="310">
        <v>46095.412705763527</v>
      </c>
      <c r="F100" s="310">
        <v>46455.911388778433</v>
      </c>
      <c r="G100" s="310">
        <v>58803.211984885209</v>
      </c>
      <c r="H100" s="310">
        <v>68704.223728501631</v>
      </c>
      <c r="I100" s="310">
        <v>70087.667592078171</v>
      </c>
      <c r="J100" s="310">
        <v>71249.634178026041</v>
      </c>
      <c r="K100" s="310">
        <v>72540.137431672163</v>
      </c>
      <c r="L100" s="310">
        <v>73956.089683616592</v>
      </c>
      <c r="M100" s="310">
        <v>75502.527599534165</v>
      </c>
      <c r="N100" s="311">
        <v>77214.154137009144</v>
      </c>
      <c r="O100" s="31">
        <v>79288.060934787049</v>
      </c>
      <c r="P100" s="31">
        <v>81542.247037635243</v>
      </c>
      <c r="Q100" s="31">
        <v>83894.380160621848</v>
      </c>
      <c r="R100" s="31">
        <v>86336.379201749354</v>
      </c>
      <c r="S100" s="31">
        <v>88826.69229730482</v>
      </c>
      <c r="T100" s="31">
        <v>90948.20472020797</v>
      </c>
      <c r="U100" s="31">
        <v>93294.806626503356</v>
      </c>
      <c r="V100" s="31">
        <v>95331.845060452702</v>
      </c>
      <c r="W100" s="31">
        <v>97363.303714721129</v>
      </c>
      <c r="X100" s="31">
        <v>23377.132224294623</v>
      </c>
      <c r="Y100" s="31">
        <v>0</v>
      </c>
    </row>
    <row r="101" spans="1:25">
      <c r="A101" s="260" t="s">
        <v>382</v>
      </c>
      <c r="B101" s="305">
        <f>NPV(0.1,D101:Y101)</f>
        <v>242242.34107582708</v>
      </c>
      <c r="C101" s="305">
        <f>B101-B91</f>
        <v>-495.47632911443361</v>
      </c>
      <c r="D101" s="309">
        <v>19963.822527316668</v>
      </c>
      <c r="E101" s="310">
        <v>24328.553217040484</v>
      </c>
      <c r="F101" s="310">
        <v>24778.039937439396</v>
      </c>
      <c r="G101" s="310">
        <v>25142.644161752265</v>
      </c>
      <c r="H101" s="310">
        <v>25592.595156442523</v>
      </c>
      <c r="I101" s="310">
        <v>26082.377619264258</v>
      </c>
      <c r="J101" s="310">
        <v>26718.209897034398</v>
      </c>
      <c r="K101" s="310">
        <v>27490.985308085634</v>
      </c>
      <c r="L101" s="310">
        <v>28398.594091830408</v>
      </c>
      <c r="M101" s="310">
        <v>29391.077219648301</v>
      </c>
      <c r="N101" s="311">
        <v>30616.26938539448</v>
      </c>
      <c r="O101" s="31">
        <v>32029.419305347037</v>
      </c>
      <c r="P101" s="31">
        <v>33625.460554834179</v>
      </c>
      <c r="Q101" s="31">
        <v>35266.787539764679</v>
      </c>
      <c r="R101" s="31">
        <v>37058.162717770872</v>
      </c>
      <c r="S101" s="31">
        <v>38902.848270393224</v>
      </c>
      <c r="T101" s="31">
        <v>40818.081507560273</v>
      </c>
      <c r="U101" s="31">
        <v>42935.203143399078</v>
      </c>
      <c r="V101" s="31">
        <v>44833.764714698824</v>
      </c>
      <c r="W101" s="31">
        <v>46763.980034069536</v>
      </c>
      <c r="X101" s="31">
        <v>2167.2369750596563</v>
      </c>
      <c r="Y101" s="31">
        <v>0</v>
      </c>
    </row>
    <row r="102" spans="1:25">
      <c r="A102" s="260" t="s">
        <v>35</v>
      </c>
      <c r="B102" s="305">
        <f>NPV(0.1,D102:Y102)</f>
        <v>99453.063391476127</v>
      </c>
      <c r="C102" s="305">
        <f>B102-B92</f>
        <v>0</v>
      </c>
      <c r="D102" s="309">
        <v>-191.13863986389691</v>
      </c>
      <c r="E102" s="310">
        <v>169.11325624083423</v>
      </c>
      <c r="F102" s="310">
        <v>174.13711540055155</v>
      </c>
      <c r="G102" s="310">
        <v>7633.7585580844243</v>
      </c>
      <c r="H102" s="310">
        <v>13501.111176961633</v>
      </c>
      <c r="I102" s="310">
        <v>14366.139745749073</v>
      </c>
      <c r="J102" s="310">
        <v>15007.752523248893</v>
      </c>
      <c r="K102" s="310">
        <v>15569.92189034669</v>
      </c>
      <c r="L102" s="310">
        <v>16186.610857208745</v>
      </c>
      <c r="M102" s="310">
        <v>16865.360998991568</v>
      </c>
      <c r="N102" s="311">
        <v>17539.764549431598</v>
      </c>
      <c r="O102" s="31">
        <v>18328.689662878485</v>
      </c>
      <c r="P102" s="31">
        <v>19194.074254081061</v>
      </c>
      <c r="Q102" s="31">
        <v>20141.278623815033</v>
      </c>
      <c r="R102" s="31">
        <v>21105.443113820202</v>
      </c>
      <c r="S102" s="31">
        <v>22087.347361856919</v>
      </c>
      <c r="T102" s="31">
        <v>22895.687433737752</v>
      </c>
      <c r="U102" s="31">
        <v>23776.4188532974</v>
      </c>
      <c r="V102" s="31">
        <v>24663.958889403068</v>
      </c>
      <c r="W102" s="31">
        <v>25351.691460922106</v>
      </c>
      <c r="X102" s="31">
        <v>0</v>
      </c>
      <c r="Y102" s="31">
        <v>0</v>
      </c>
    </row>
    <row r="103" spans="1:25">
      <c r="A103" s="260" t="s">
        <v>32</v>
      </c>
      <c r="B103" s="305">
        <f>NPV(0.1,D103:Y103)</f>
        <v>137790.03988336079</v>
      </c>
      <c r="C103" s="305">
        <f>B103-B93</f>
        <v>0</v>
      </c>
      <c r="D103" s="312">
        <v>4536.4264535020939</v>
      </c>
      <c r="E103" s="313">
        <v>8065.427804675769</v>
      </c>
      <c r="F103" s="313">
        <v>7579.6982435504187</v>
      </c>
      <c r="G103" s="313">
        <v>20533.973474184604</v>
      </c>
      <c r="H103" s="313">
        <v>26216.073708153526</v>
      </c>
      <c r="I103" s="313">
        <v>26586.924570528594</v>
      </c>
      <c r="J103" s="313">
        <v>19745.858856847179</v>
      </c>
      <c r="K103" s="313">
        <v>19684.694559748106</v>
      </c>
      <c r="L103" s="313">
        <v>19614.15440994122</v>
      </c>
      <c r="M103" s="313">
        <v>19494.210375038761</v>
      </c>
      <c r="N103" s="314">
        <v>19431.781272692453</v>
      </c>
      <c r="O103" s="31">
        <v>19312.473939023297</v>
      </c>
      <c r="P103" s="31">
        <v>19180.229788031844</v>
      </c>
      <c r="Q103" s="31">
        <v>18990.688399595423</v>
      </c>
      <c r="R103" s="31">
        <v>18849.989272235911</v>
      </c>
      <c r="S103" s="31">
        <v>14177.935737976828</v>
      </c>
      <c r="T103" s="31">
        <v>13187.438341679226</v>
      </c>
      <c r="U103" s="31">
        <v>12743.378864720864</v>
      </c>
      <c r="V103" s="31">
        <v>12353.077496289719</v>
      </c>
      <c r="W103" s="31">
        <v>18870.747902821491</v>
      </c>
      <c r="X103" s="31">
        <v>0</v>
      </c>
      <c r="Y103" s="31">
        <v>0</v>
      </c>
    </row>
    <row r="104" spans="1:25">
      <c r="D104" s="34"/>
      <c r="E104" s="250"/>
    </row>
    <row r="105" spans="1:25">
      <c r="A105" s="29" t="s">
        <v>465</v>
      </c>
      <c r="D105" s="34"/>
      <c r="E105" s="250"/>
    </row>
    <row r="106" spans="1:25">
      <c r="A106" s="29" t="s">
        <v>466</v>
      </c>
      <c r="D106" s="34"/>
      <c r="E106" s="250"/>
    </row>
    <row r="107" spans="1:25">
      <c r="D107" s="34"/>
      <c r="E107" s="250"/>
    </row>
    <row r="108" spans="1:25">
      <c r="A108" s="254" t="s">
        <v>379</v>
      </c>
      <c r="B108" s="255">
        <v>54422.716297493767</v>
      </c>
      <c r="D108" s="256"/>
      <c r="E108" s="256"/>
      <c r="F108" s="256"/>
      <c r="G108" s="256"/>
      <c r="H108" s="256"/>
      <c r="I108" s="256"/>
      <c r="J108" s="256"/>
      <c r="K108" s="256"/>
      <c r="L108" s="256"/>
      <c r="M108" s="256"/>
      <c r="N108" s="256"/>
      <c r="O108" s="256"/>
      <c r="P108" s="256"/>
      <c r="Q108" s="256"/>
      <c r="R108" s="256"/>
      <c r="S108" s="256"/>
      <c r="T108" s="256"/>
      <c r="U108" s="256"/>
      <c r="V108" s="256"/>
      <c r="W108" s="256"/>
    </row>
    <row r="109" spans="1:25">
      <c r="A109" s="257" t="s">
        <v>380</v>
      </c>
      <c r="B109" s="258">
        <v>92619.410596319023</v>
      </c>
      <c r="D109" s="256"/>
      <c r="E109" s="256"/>
      <c r="F109" s="256"/>
      <c r="G109" s="256"/>
      <c r="H109" s="256"/>
      <c r="I109" s="256"/>
      <c r="J109" s="256"/>
      <c r="K109" s="256"/>
      <c r="L109" s="256"/>
      <c r="M109" s="256"/>
      <c r="N109" s="256"/>
      <c r="O109" s="256"/>
      <c r="P109" s="256"/>
      <c r="Q109" s="256"/>
      <c r="R109" s="256"/>
      <c r="S109" s="256"/>
      <c r="T109" s="256"/>
      <c r="U109" s="256"/>
      <c r="V109" s="256"/>
      <c r="W109" s="256"/>
    </row>
    <row r="110" spans="1:25">
      <c r="A110" s="259" t="s">
        <v>383</v>
      </c>
      <c r="B110" s="304" t="s">
        <v>483</v>
      </c>
      <c r="C110" s="304" t="s">
        <v>484</v>
      </c>
      <c r="D110" s="306">
        <v>2000</v>
      </c>
      <c r="E110" s="307">
        <v>2001</v>
      </c>
      <c r="F110" s="307">
        <v>2002</v>
      </c>
      <c r="G110" s="307">
        <v>2003</v>
      </c>
      <c r="H110" s="307">
        <v>2004</v>
      </c>
      <c r="I110" s="307">
        <v>2005</v>
      </c>
      <c r="J110" s="307">
        <v>2006</v>
      </c>
      <c r="K110" s="307">
        <v>2007</v>
      </c>
      <c r="L110" s="307">
        <v>2008</v>
      </c>
      <c r="M110" s="307">
        <v>2009</v>
      </c>
      <c r="N110" s="308">
        <v>2010</v>
      </c>
      <c r="O110" s="256">
        <v>2011</v>
      </c>
      <c r="P110" s="256">
        <v>2012</v>
      </c>
      <c r="Q110" s="256">
        <v>2013</v>
      </c>
      <c r="R110" s="256">
        <v>2014</v>
      </c>
      <c r="S110" s="256">
        <v>2015</v>
      </c>
      <c r="T110" s="256">
        <v>2016</v>
      </c>
      <c r="U110" s="256">
        <v>2017</v>
      </c>
      <c r="V110" s="256">
        <v>2018</v>
      </c>
      <c r="W110" s="256">
        <v>2019</v>
      </c>
      <c r="X110" s="256">
        <v>2020</v>
      </c>
      <c r="Y110" s="256">
        <v>2021</v>
      </c>
    </row>
    <row r="111" spans="1:25">
      <c r="A111" s="259" t="s">
        <v>381</v>
      </c>
      <c r="B111" s="305">
        <f>NPV(0.1,D111:Y111)</f>
        <v>562277.20544354699</v>
      </c>
      <c r="C111" s="305">
        <f>B111-B100</f>
        <v>0</v>
      </c>
      <c r="D111" s="309">
        <v>32983.897333983332</v>
      </c>
      <c r="E111" s="310">
        <v>46095.412705763527</v>
      </c>
      <c r="F111" s="310">
        <v>46455.911388778433</v>
      </c>
      <c r="G111" s="310">
        <v>58803.211984885209</v>
      </c>
      <c r="H111" s="310">
        <v>68704.223728501631</v>
      </c>
      <c r="I111" s="310">
        <v>70087.667592078171</v>
      </c>
      <c r="J111" s="310">
        <v>71249.634178026041</v>
      </c>
      <c r="K111" s="310">
        <v>72540.137431672163</v>
      </c>
      <c r="L111" s="310">
        <v>73956.089683616592</v>
      </c>
      <c r="M111" s="310">
        <v>75502.527599534165</v>
      </c>
      <c r="N111" s="311">
        <v>77214.154137009144</v>
      </c>
      <c r="O111" s="31">
        <v>79288.060934787049</v>
      </c>
      <c r="P111" s="31">
        <v>81542.247037635243</v>
      </c>
      <c r="Q111" s="31">
        <v>83894.380160621848</v>
      </c>
      <c r="R111" s="31">
        <v>86336.379201749354</v>
      </c>
      <c r="S111" s="31">
        <v>88826.69229730482</v>
      </c>
      <c r="T111" s="31">
        <v>90948.20472020797</v>
      </c>
      <c r="U111" s="31">
        <v>93294.806626503356</v>
      </c>
      <c r="V111" s="31">
        <v>95331.845060452702</v>
      </c>
      <c r="W111" s="31">
        <v>97363.303714721129</v>
      </c>
      <c r="X111" s="31">
        <v>23377.132224294623</v>
      </c>
      <c r="Y111" s="31">
        <v>0</v>
      </c>
    </row>
    <row r="112" spans="1:25">
      <c r="A112" s="260" t="s">
        <v>382</v>
      </c>
      <c r="B112" s="305">
        <f>NPV(0.1,D112:Y112)</f>
        <v>242242.34107582708</v>
      </c>
      <c r="C112" s="305">
        <f>B112-B101</f>
        <v>0</v>
      </c>
      <c r="D112" s="309">
        <v>19963.822527316668</v>
      </c>
      <c r="E112" s="310">
        <v>24328.553217040484</v>
      </c>
      <c r="F112" s="310">
        <v>24778.039937439396</v>
      </c>
      <c r="G112" s="310">
        <v>25142.644161752265</v>
      </c>
      <c r="H112" s="310">
        <v>25592.595156442523</v>
      </c>
      <c r="I112" s="310">
        <v>26082.377619264258</v>
      </c>
      <c r="J112" s="310">
        <v>26718.209897034398</v>
      </c>
      <c r="K112" s="310">
        <v>27490.985308085634</v>
      </c>
      <c r="L112" s="310">
        <v>28398.594091830408</v>
      </c>
      <c r="M112" s="310">
        <v>29391.077219648301</v>
      </c>
      <c r="N112" s="311">
        <v>30616.26938539448</v>
      </c>
      <c r="O112" s="31">
        <v>32029.419305347037</v>
      </c>
      <c r="P112" s="31">
        <v>33625.460554834179</v>
      </c>
      <c r="Q112" s="31">
        <v>35266.787539764679</v>
      </c>
      <c r="R112" s="31">
        <v>37058.162717770872</v>
      </c>
      <c r="S112" s="31">
        <v>38902.848270393224</v>
      </c>
      <c r="T112" s="31">
        <v>40818.081507560273</v>
      </c>
      <c r="U112" s="31">
        <v>42935.203143399078</v>
      </c>
      <c r="V112" s="31">
        <v>44833.764714698824</v>
      </c>
      <c r="W112" s="31">
        <v>46763.980034069536</v>
      </c>
      <c r="X112" s="31">
        <v>2167.2369750596563</v>
      </c>
      <c r="Y112" s="31">
        <v>0</v>
      </c>
    </row>
    <row r="113" spans="1:25">
      <c r="A113" s="260" t="s">
        <v>35</v>
      </c>
      <c r="B113" s="305">
        <f>NPV(0.1,D113:Y113)</f>
        <v>96966.736806689223</v>
      </c>
      <c r="C113" s="305">
        <f>B113-B102</f>
        <v>-2486.3265847869043</v>
      </c>
      <c r="D113" s="309">
        <v>-186.36017386729947</v>
      </c>
      <c r="E113" s="310">
        <v>164.88542483481336</v>
      </c>
      <c r="F113" s="310">
        <v>169.78368751553774</v>
      </c>
      <c r="G113" s="310">
        <v>7442.9145941323131</v>
      </c>
      <c r="H113" s="310">
        <v>13163.583397537592</v>
      </c>
      <c r="I113" s="310">
        <v>14006.986252105346</v>
      </c>
      <c r="J113" s="310">
        <v>14632.55871016767</v>
      </c>
      <c r="K113" s="310">
        <v>15180.673843088021</v>
      </c>
      <c r="L113" s="310">
        <v>15781.945585778527</v>
      </c>
      <c r="M113" s="310">
        <v>16443.726974016776</v>
      </c>
      <c r="N113" s="311">
        <v>17101.270435695806</v>
      </c>
      <c r="O113" s="31">
        <v>17870.47242130652</v>
      </c>
      <c r="P113" s="31">
        <v>18714.22239772903</v>
      </c>
      <c r="Q113" s="31">
        <v>19637.746658219658</v>
      </c>
      <c r="R113" s="31">
        <v>20577.807035974696</v>
      </c>
      <c r="S113" s="31">
        <v>21535.163677810495</v>
      </c>
      <c r="T113" s="31">
        <v>22323.295247894308</v>
      </c>
      <c r="U113" s="31">
        <v>23182.008381964966</v>
      </c>
      <c r="V113" s="31">
        <v>24047.359917167989</v>
      </c>
      <c r="W113" s="31">
        <v>24717.899174399048</v>
      </c>
      <c r="X113" s="31">
        <v>0</v>
      </c>
      <c r="Y113" s="31">
        <v>0</v>
      </c>
    </row>
    <row r="114" spans="1:25">
      <c r="A114" s="260" t="s">
        <v>32</v>
      </c>
      <c r="B114" s="305">
        <f>NPV(0.1,D114:Y114)</f>
        <v>136062.0032176332</v>
      </c>
      <c r="C114" s="305">
        <f>B114-B103</f>
        <v>-1728.0366657275881</v>
      </c>
      <c r="D114" s="312">
        <v>4433.1097883317379</v>
      </c>
      <c r="E114" s="313">
        <v>7996.5500278955315</v>
      </c>
      <c r="F114" s="313">
        <v>7510.8204667701812</v>
      </c>
      <c r="G114" s="313">
        <v>20465.095697404366</v>
      </c>
      <c r="H114" s="313">
        <v>26147.195931373288</v>
      </c>
      <c r="I114" s="313">
        <v>26639.175758160549</v>
      </c>
      <c r="J114" s="313">
        <v>19922.788193198983</v>
      </c>
      <c r="K114" s="313">
        <v>19397.977283203847</v>
      </c>
      <c r="L114" s="313">
        <v>19311.672959038129</v>
      </c>
      <c r="M114" s="313">
        <v>19175.107120778379</v>
      </c>
      <c r="N114" s="314">
        <v>19095.470979483795</v>
      </c>
      <c r="O114" s="31">
        <v>18956.787468165741</v>
      </c>
      <c r="P114" s="31">
        <v>18802.561752206944</v>
      </c>
      <c r="Q114" s="31">
        <v>18589.687204714453</v>
      </c>
      <c r="R114" s="31">
        <v>18424.537014917536</v>
      </c>
      <c r="S114" s="31">
        <v>13548.909577822953</v>
      </c>
      <c r="T114" s="31">
        <v>12512.529365869883</v>
      </c>
      <c r="U114" s="31">
        <v>12046.451603422531</v>
      </c>
      <c r="V114" s="31">
        <v>11633.961734088749</v>
      </c>
      <c r="W114" s="31">
        <v>18134.438826332542</v>
      </c>
      <c r="X114" s="31">
        <v>0</v>
      </c>
      <c r="Y114" s="31">
        <v>0</v>
      </c>
    </row>
    <row r="115" spans="1:25">
      <c r="D115" s="34"/>
      <c r="E115" s="250"/>
    </row>
    <row r="116" spans="1:25">
      <c r="A116" s="29" t="s">
        <v>476</v>
      </c>
      <c r="D116" s="34"/>
      <c r="E116" s="250"/>
    </row>
    <row r="117" spans="1:25">
      <c r="A117" s="261">
        <v>36234</v>
      </c>
      <c r="D117" s="34"/>
      <c r="E117" s="250"/>
    </row>
    <row r="118" spans="1:25">
      <c r="A118" s="254" t="s">
        <v>379</v>
      </c>
      <c r="B118" s="255">
        <v>54443.929716569546</v>
      </c>
      <c r="D118" s="256"/>
      <c r="E118" s="256"/>
      <c r="F118" s="256"/>
      <c r="G118" s="256"/>
      <c r="H118" s="256"/>
      <c r="I118" s="256"/>
      <c r="J118" s="256"/>
      <c r="K118" s="256"/>
      <c r="L118" s="256"/>
      <c r="M118" s="256"/>
      <c r="N118" s="256"/>
      <c r="O118" s="256"/>
      <c r="P118" s="256"/>
      <c r="Q118" s="256"/>
      <c r="R118" s="256"/>
      <c r="S118" s="256"/>
      <c r="T118" s="256"/>
      <c r="U118" s="256"/>
      <c r="V118" s="256"/>
      <c r="W118" s="256"/>
    </row>
    <row r="119" spans="1:25">
      <c r="A119" s="257" t="s">
        <v>380</v>
      </c>
      <c r="B119" s="258">
        <v>92619.410596319023</v>
      </c>
      <c r="D119" s="256"/>
      <c r="E119" s="256"/>
      <c r="F119" s="256"/>
      <c r="G119" s="256"/>
      <c r="H119" s="256"/>
      <c r="I119" s="256"/>
      <c r="J119" s="256"/>
      <c r="K119" s="256"/>
      <c r="L119" s="256"/>
      <c r="M119" s="256"/>
      <c r="N119" s="256"/>
      <c r="O119" s="256"/>
      <c r="P119" s="256"/>
      <c r="Q119" s="256"/>
      <c r="R119" s="256"/>
      <c r="S119" s="256"/>
      <c r="T119" s="256"/>
      <c r="U119" s="256"/>
      <c r="V119" s="256"/>
      <c r="W119" s="256"/>
    </row>
    <row r="120" spans="1:25">
      <c r="A120" s="259" t="s">
        <v>383</v>
      </c>
      <c r="B120" s="304" t="s">
        <v>483</v>
      </c>
      <c r="C120" s="304" t="s">
        <v>484</v>
      </c>
      <c r="D120" s="306">
        <v>2000</v>
      </c>
      <c r="E120" s="307">
        <v>2001</v>
      </c>
      <c r="F120" s="307">
        <v>2002</v>
      </c>
      <c r="G120" s="307">
        <v>2003</v>
      </c>
      <c r="H120" s="307">
        <v>2004</v>
      </c>
      <c r="I120" s="307">
        <v>2005</v>
      </c>
      <c r="J120" s="307">
        <v>2006</v>
      </c>
      <c r="K120" s="307">
        <v>2007</v>
      </c>
      <c r="L120" s="307">
        <v>2008</v>
      </c>
      <c r="M120" s="307">
        <v>2009</v>
      </c>
      <c r="N120" s="308">
        <v>2010</v>
      </c>
      <c r="O120" s="256">
        <v>2011</v>
      </c>
      <c r="P120" s="256">
        <v>2012</v>
      </c>
      <c r="Q120" s="256">
        <v>2013</v>
      </c>
      <c r="R120" s="256">
        <v>2014</v>
      </c>
      <c r="S120" s="256">
        <v>2015</v>
      </c>
      <c r="T120" s="256">
        <v>2016</v>
      </c>
      <c r="U120" s="256">
        <v>2017</v>
      </c>
      <c r="V120" s="256">
        <v>2018</v>
      </c>
      <c r="W120" s="256">
        <v>2019</v>
      </c>
      <c r="X120" s="256">
        <v>2020</v>
      </c>
      <c r="Y120" s="256">
        <v>2021</v>
      </c>
    </row>
    <row r="121" spans="1:25">
      <c r="A121" s="259" t="s">
        <v>381</v>
      </c>
      <c r="B121" s="305">
        <f>NPV(0.1,D121:Y121)</f>
        <v>562277.20544354699</v>
      </c>
      <c r="C121" s="305">
        <f>B121-B111</f>
        <v>0</v>
      </c>
      <c r="D121" s="309">
        <v>32983.897333983332</v>
      </c>
      <c r="E121" s="310">
        <v>46095.412705763527</v>
      </c>
      <c r="F121" s="310">
        <v>46455.911388778433</v>
      </c>
      <c r="G121" s="310">
        <v>58803.211984885209</v>
      </c>
      <c r="H121" s="310">
        <v>68704.223728501631</v>
      </c>
      <c r="I121" s="310">
        <v>70087.667592078171</v>
      </c>
      <c r="J121" s="310">
        <v>71249.634178026041</v>
      </c>
      <c r="K121" s="310">
        <v>72540.137431672163</v>
      </c>
      <c r="L121" s="310">
        <v>73956.089683616592</v>
      </c>
      <c r="M121" s="310">
        <v>75502.527599534165</v>
      </c>
      <c r="N121" s="311">
        <v>77214.154137009144</v>
      </c>
      <c r="O121" s="31">
        <v>79288.060934787049</v>
      </c>
      <c r="P121" s="31">
        <v>81542.247037635243</v>
      </c>
      <c r="Q121" s="31">
        <v>83894.380160621848</v>
      </c>
      <c r="R121" s="31">
        <v>86336.379201749354</v>
      </c>
      <c r="S121" s="31">
        <v>88826.69229730482</v>
      </c>
      <c r="T121" s="31">
        <v>90948.20472020797</v>
      </c>
      <c r="U121" s="31">
        <v>93294.806626503356</v>
      </c>
      <c r="V121" s="31">
        <v>95331.845060452702</v>
      </c>
      <c r="W121" s="31">
        <v>97363.303714721129</v>
      </c>
      <c r="X121" s="31">
        <v>23377.132224294623</v>
      </c>
      <c r="Y121" s="31">
        <v>0</v>
      </c>
    </row>
    <row r="122" spans="1:25">
      <c r="A122" s="260" t="s">
        <v>382</v>
      </c>
      <c r="B122" s="305">
        <f>NPV(0.1,D122:Y122)</f>
        <v>242242.34107582708</v>
      </c>
      <c r="C122" s="305">
        <f>B122-B112</f>
        <v>0</v>
      </c>
      <c r="D122" s="309">
        <v>19963.822527316668</v>
      </c>
      <c r="E122" s="310">
        <v>24328.553217040484</v>
      </c>
      <c r="F122" s="310">
        <v>24778.039937439396</v>
      </c>
      <c r="G122" s="310">
        <v>25142.644161752265</v>
      </c>
      <c r="H122" s="310">
        <v>25592.595156442523</v>
      </c>
      <c r="I122" s="310">
        <v>26082.377619264258</v>
      </c>
      <c r="J122" s="310">
        <v>26718.209897034398</v>
      </c>
      <c r="K122" s="310">
        <v>27490.985308085634</v>
      </c>
      <c r="L122" s="310">
        <v>28398.594091830408</v>
      </c>
      <c r="M122" s="310">
        <v>29391.077219648301</v>
      </c>
      <c r="N122" s="311">
        <v>30616.26938539448</v>
      </c>
      <c r="O122" s="31">
        <v>32029.419305347037</v>
      </c>
      <c r="P122" s="31">
        <v>33625.460554834179</v>
      </c>
      <c r="Q122" s="31">
        <v>35266.787539764679</v>
      </c>
      <c r="R122" s="31">
        <v>37058.162717770872</v>
      </c>
      <c r="S122" s="31">
        <v>38902.848270393224</v>
      </c>
      <c r="T122" s="31">
        <v>40818.081507560273</v>
      </c>
      <c r="U122" s="31">
        <v>42935.203143399078</v>
      </c>
      <c r="V122" s="31">
        <v>44833.764714698824</v>
      </c>
      <c r="W122" s="31">
        <v>46763.980034069536</v>
      </c>
      <c r="X122" s="31">
        <v>2167.2369750596563</v>
      </c>
      <c r="Y122" s="31">
        <v>0</v>
      </c>
    </row>
    <row r="123" spans="1:25">
      <c r="A123" s="260" t="s">
        <v>35</v>
      </c>
      <c r="B123" s="305">
        <f>NPV(0.1,D123:Y123)</f>
        <v>96966.736806689223</v>
      </c>
      <c r="C123" s="305">
        <f>B123-B113</f>
        <v>0</v>
      </c>
      <c r="D123" s="309">
        <v>-186.36017386729947</v>
      </c>
      <c r="E123" s="310">
        <v>164.88542483481336</v>
      </c>
      <c r="F123" s="310">
        <v>169.78368751553774</v>
      </c>
      <c r="G123" s="310">
        <v>7442.9145941323131</v>
      </c>
      <c r="H123" s="310">
        <v>13163.583397537592</v>
      </c>
      <c r="I123" s="310">
        <v>14006.986252105346</v>
      </c>
      <c r="J123" s="310">
        <v>14632.55871016767</v>
      </c>
      <c r="K123" s="310">
        <v>15180.673843088021</v>
      </c>
      <c r="L123" s="310">
        <v>15781.945585778527</v>
      </c>
      <c r="M123" s="310">
        <v>16443.726974016776</v>
      </c>
      <c r="N123" s="311">
        <v>17101.270435695806</v>
      </c>
      <c r="O123" s="31">
        <v>17870.47242130652</v>
      </c>
      <c r="P123" s="31">
        <v>18714.22239772903</v>
      </c>
      <c r="Q123" s="31">
        <v>19637.746658219658</v>
      </c>
      <c r="R123" s="31">
        <v>20577.807035974696</v>
      </c>
      <c r="S123" s="31">
        <v>21535.163677810495</v>
      </c>
      <c r="T123" s="31">
        <v>22323.295247894308</v>
      </c>
      <c r="U123" s="31">
        <v>23182.008381964966</v>
      </c>
      <c r="V123" s="31">
        <v>24047.359917167989</v>
      </c>
      <c r="W123" s="31">
        <v>24717.899174399048</v>
      </c>
      <c r="X123" s="31">
        <v>0</v>
      </c>
      <c r="Y123" s="31">
        <v>0</v>
      </c>
    </row>
    <row r="124" spans="1:25">
      <c r="A124" s="260" t="s">
        <v>32</v>
      </c>
      <c r="B124" s="305">
        <f>NPV(0.1,D124:Y124)</f>
        <v>136086.09233036186</v>
      </c>
      <c r="C124" s="305">
        <f>B124-B114</f>
        <v>24.089112728659529</v>
      </c>
      <c r="D124" s="312">
        <v>4433.1097883317379</v>
      </c>
      <c r="E124" s="313">
        <v>7996.5500278955315</v>
      </c>
      <c r="F124" s="313">
        <v>7510.8204667701812</v>
      </c>
      <c r="G124" s="313">
        <v>20465.095697404366</v>
      </c>
      <c r="H124" s="313">
        <v>26147.195931373288</v>
      </c>
      <c r="I124" s="313">
        <v>26639.175758160549</v>
      </c>
      <c r="J124" s="313">
        <v>19946.897137016487</v>
      </c>
      <c r="K124" s="313">
        <v>19401.19180904618</v>
      </c>
      <c r="L124" s="313">
        <v>19314.887484880463</v>
      </c>
      <c r="M124" s="313">
        <v>19178.321646620712</v>
      </c>
      <c r="N124" s="314">
        <v>19098.685505326128</v>
      </c>
      <c r="O124" s="31">
        <v>18960.001994008075</v>
      </c>
      <c r="P124" s="31">
        <v>18805.776278049278</v>
      </c>
      <c r="Q124" s="31">
        <v>18592.901730556787</v>
      </c>
      <c r="R124" s="31">
        <v>18427.751540759869</v>
      </c>
      <c r="S124" s="31">
        <v>13552.12410366529</v>
      </c>
      <c r="T124" s="31">
        <v>12515.74389171222</v>
      </c>
      <c r="U124" s="31">
        <v>12049.666129264868</v>
      </c>
      <c r="V124" s="31">
        <v>11637.176259931079</v>
      </c>
      <c r="W124" s="31">
        <v>18137.653352174875</v>
      </c>
      <c r="X124" s="31">
        <v>0</v>
      </c>
      <c r="Y124" s="31">
        <v>0</v>
      </c>
    </row>
    <row r="125" spans="1:25">
      <c r="D125" s="34"/>
      <c r="E125" s="250"/>
    </row>
    <row r="126" spans="1:25">
      <c r="A126" s="29" t="s">
        <v>477</v>
      </c>
      <c r="D126" s="34"/>
      <c r="E126" s="250"/>
    </row>
    <row r="127" spans="1:25">
      <c r="A127" s="261">
        <v>36234</v>
      </c>
      <c r="D127" s="34"/>
      <c r="E127" s="250"/>
    </row>
    <row r="128" spans="1:25">
      <c r="A128" s="254" t="s">
        <v>379</v>
      </c>
      <c r="B128" s="255">
        <v>53762.725137986439</v>
      </c>
      <c r="D128" s="256"/>
      <c r="E128" s="256"/>
      <c r="F128" s="256"/>
      <c r="G128" s="256"/>
      <c r="H128" s="256"/>
      <c r="I128" s="256"/>
      <c r="J128" s="256"/>
      <c r="K128" s="256"/>
      <c r="L128" s="256"/>
      <c r="M128" s="256"/>
      <c r="N128" s="256"/>
      <c r="O128" s="256"/>
      <c r="P128" s="256"/>
      <c r="Q128" s="256"/>
      <c r="R128" s="256"/>
      <c r="S128" s="256"/>
      <c r="T128" s="256"/>
      <c r="U128" s="256"/>
      <c r="V128" s="256"/>
      <c r="W128" s="256"/>
    </row>
    <row r="129" spans="1:25">
      <c r="A129" s="257" t="s">
        <v>380</v>
      </c>
      <c r="B129" s="258">
        <v>92619.410596319023</v>
      </c>
      <c r="D129" s="256"/>
      <c r="E129" s="256"/>
      <c r="F129" s="256"/>
      <c r="G129" s="256"/>
      <c r="H129" s="256"/>
      <c r="I129" s="256"/>
      <c r="J129" s="256"/>
      <c r="K129" s="256"/>
      <c r="L129" s="256"/>
      <c r="M129" s="256"/>
      <c r="N129" s="256"/>
      <c r="O129" s="256"/>
      <c r="P129" s="256"/>
      <c r="Q129" s="256"/>
      <c r="R129" s="256"/>
      <c r="S129" s="256"/>
      <c r="T129" s="256"/>
      <c r="U129" s="256"/>
      <c r="V129" s="256"/>
      <c r="W129" s="256"/>
    </row>
    <row r="130" spans="1:25">
      <c r="A130" s="259" t="s">
        <v>383</v>
      </c>
      <c r="B130" s="304" t="s">
        <v>483</v>
      </c>
      <c r="C130" s="304" t="s">
        <v>484</v>
      </c>
      <c r="D130" s="306">
        <v>2000</v>
      </c>
      <c r="E130" s="307">
        <v>2001</v>
      </c>
      <c r="F130" s="307">
        <v>2002</v>
      </c>
      <c r="G130" s="307">
        <v>2003</v>
      </c>
      <c r="H130" s="307">
        <v>2004</v>
      </c>
      <c r="I130" s="307">
        <v>2005</v>
      </c>
      <c r="J130" s="307">
        <v>2006</v>
      </c>
      <c r="K130" s="307">
        <v>2007</v>
      </c>
      <c r="L130" s="307">
        <v>2008</v>
      </c>
      <c r="M130" s="307">
        <v>2009</v>
      </c>
      <c r="N130" s="308">
        <v>2010</v>
      </c>
      <c r="O130" s="256">
        <v>2011</v>
      </c>
      <c r="P130" s="256">
        <v>2012</v>
      </c>
      <c r="Q130" s="256">
        <v>2013</v>
      </c>
      <c r="R130" s="256">
        <v>2014</v>
      </c>
      <c r="S130" s="256">
        <v>2015</v>
      </c>
      <c r="T130" s="256">
        <v>2016</v>
      </c>
      <c r="U130" s="256">
        <v>2017</v>
      </c>
      <c r="V130" s="256">
        <v>2018</v>
      </c>
      <c r="W130" s="256">
        <v>2019</v>
      </c>
      <c r="X130" s="256">
        <v>2020</v>
      </c>
      <c r="Y130" s="256">
        <v>2021</v>
      </c>
    </row>
    <row r="131" spans="1:25">
      <c r="A131" s="259" t="s">
        <v>381</v>
      </c>
      <c r="B131" s="305">
        <f>NPV(0.1,D131:Y131)</f>
        <v>562277.20544354699</v>
      </c>
      <c r="C131" s="305">
        <f>B131-B121</f>
        <v>0</v>
      </c>
      <c r="D131" s="309">
        <v>32983.897333983332</v>
      </c>
      <c r="E131" s="310">
        <v>46095.412705763527</v>
      </c>
      <c r="F131" s="310">
        <v>46455.911388778433</v>
      </c>
      <c r="G131" s="310">
        <v>58803.211984885209</v>
      </c>
      <c r="H131" s="310">
        <v>68704.223728501631</v>
      </c>
      <c r="I131" s="310">
        <v>70087.667592078171</v>
      </c>
      <c r="J131" s="310">
        <v>71249.634178026041</v>
      </c>
      <c r="K131" s="310">
        <v>72540.137431672163</v>
      </c>
      <c r="L131" s="310">
        <v>73956.089683616592</v>
      </c>
      <c r="M131" s="310">
        <v>75502.527599534165</v>
      </c>
      <c r="N131" s="311">
        <v>77214.154137009144</v>
      </c>
      <c r="O131" s="31">
        <v>79288.060934787049</v>
      </c>
      <c r="P131" s="31">
        <v>81542.247037635243</v>
      </c>
      <c r="Q131" s="31">
        <v>83894.380160621848</v>
      </c>
      <c r="R131" s="31">
        <v>86336.379201749354</v>
      </c>
      <c r="S131" s="31">
        <v>88826.69229730482</v>
      </c>
      <c r="T131" s="31">
        <v>90948.20472020797</v>
      </c>
      <c r="U131" s="31">
        <v>93294.806626503356</v>
      </c>
      <c r="V131" s="31">
        <v>95331.845060452702</v>
      </c>
      <c r="W131" s="31">
        <v>97363.303714721129</v>
      </c>
      <c r="X131" s="31">
        <v>23377.132224294623</v>
      </c>
      <c r="Y131" s="31">
        <v>0</v>
      </c>
    </row>
    <row r="132" spans="1:25">
      <c r="A132" s="260" t="s">
        <v>382</v>
      </c>
      <c r="B132" s="305">
        <f>NPV(0.1,D132:Y132)</f>
        <v>242242.34107582708</v>
      </c>
      <c r="C132" s="305">
        <f>B132-B122</f>
        <v>0</v>
      </c>
      <c r="D132" s="309">
        <v>19963.822527316668</v>
      </c>
      <c r="E132" s="310">
        <v>24328.553217040484</v>
      </c>
      <c r="F132" s="310">
        <v>24778.039937439396</v>
      </c>
      <c r="G132" s="310">
        <v>25142.644161752265</v>
      </c>
      <c r="H132" s="310">
        <v>25592.595156442523</v>
      </c>
      <c r="I132" s="310">
        <v>26082.377619264258</v>
      </c>
      <c r="J132" s="310">
        <v>26718.209897034398</v>
      </c>
      <c r="K132" s="310">
        <v>27490.985308085634</v>
      </c>
      <c r="L132" s="310">
        <v>28398.594091830408</v>
      </c>
      <c r="M132" s="310">
        <v>29391.077219648301</v>
      </c>
      <c r="N132" s="311">
        <v>30616.26938539448</v>
      </c>
      <c r="O132" s="31">
        <v>32029.419305347037</v>
      </c>
      <c r="P132" s="31">
        <v>33625.460554834179</v>
      </c>
      <c r="Q132" s="31">
        <v>35266.787539764679</v>
      </c>
      <c r="R132" s="31">
        <v>37058.162717770872</v>
      </c>
      <c r="S132" s="31">
        <v>38902.848270393224</v>
      </c>
      <c r="T132" s="31">
        <v>40818.081507560273</v>
      </c>
      <c r="U132" s="31">
        <v>42935.203143399078</v>
      </c>
      <c r="V132" s="31">
        <v>44833.764714698824</v>
      </c>
      <c r="W132" s="31">
        <v>46763.980034069536</v>
      </c>
      <c r="X132" s="31">
        <v>2167.2369750596563</v>
      </c>
      <c r="Y132" s="31">
        <v>0</v>
      </c>
    </row>
    <row r="133" spans="1:25">
      <c r="A133" s="260" t="s">
        <v>35</v>
      </c>
      <c r="B133" s="305">
        <f>NPV(0.1,D133:Y133)</f>
        <v>96966.736806689223</v>
      </c>
      <c r="C133" s="305">
        <f>B133-B123</f>
        <v>0</v>
      </c>
      <c r="D133" s="309">
        <v>-186.36017386729947</v>
      </c>
      <c r="E133" s="310">
        <v>164.88542483481336</v>
      </c>
      <c r="F133" s="310">
        <v>169.78368751553774</v>
      </c>
      <c r="G133" s="310">
        <v>7442.9145941323131</v>
      </c>
      <c r="H133" s="310">
        <v>13163.583397537592</v>
      </c>
      <c r="I133" s="310">
        <v>14006.986252105346</v>
      </c>
      <c r="J133" s="310">
        <v>14632.55871016767</v>
      </c>
      <c r="K133" s="310">
        <v>15180.673843088021</v>
      </c>
      <c r="L133" s="310">
        <v>15781.945585778527</v>
      </c>
      <c r="M133" s="310">
        <v>16443.726974016776</v>
      </c>
      <c r="N133" s="311">
        <v>17101.270435695806</v>
      </c>
      <c r="O133" s="31">
        <v>17870.47242130652</v>
      </c>
      <c r="P133" s="31">
        <v>18714.22239772903</v>
      </c>
      <c r="Q133" s="31">
        <v>19637.746658219658</v>
      </c>
      <c r="R133" s="31">
        <v>20577.807035974696</v>
      </c>
      <c r="S133" s="31">
        <v>21535.163677810495</v>
      </c>
      <c r="T133" s="31">
        <v>22323.295247894308</v>
      </c>
      <c r="U133" s="31">
        <v>23182.008381964966</v>
      </c>
      <c r="V133" s="31">
        <v>24047.359917167989</v>
      </c>
      <c r="W133" s="31">
        <v>24717.899174399048</v>
      </c>
      <c r="X133" s="31">
        <v>0</v>
      </c>
      <c r="Y133" s="31">
        <v>0</v>
      </c>
    </row>
    <row r="134" spans="1:25">
      <c r="A134" s="260" t="s">
        <v>32</v>
      </c>
      <c r="B134" s="305">
        <f>NPV(0.1,D134:Y134)</f>
        <v>135428.33324009721</v>
      </c>
      <c r="C134" s="305">
        <f>B134-B124</f>
        <v>-657.75909026464797</v>
      </c>
      <c r="D134" s="312">
        <v>4433.1097883317379</v>
      </c>
      <c r="E134" s="313">
        <v>7996.5500278955315</v>
      </c>
      <c r="F134" s="313">
        <v>7510.8204667701812</v>
      </c>
      <c r="G134" s="313">
        <v>20465.095697404366</v>
      </c>
      <c r="H134" s="313">
        <v>26147.195931373288</v>
      </c>
      <c r="I134" s="313">
        <v>25143.941922371658</v>
      </c>
      <c r="J134" s="313">
        <v>19476.063390135419</v>
      </c>
      <c r="K134" s="313">
        <v>19401.19180904618</v>
      </c>
      <c r="L134" s="313">
        <v>19314.887484880463</v>
      </c>
      <c r="M134" s="313">
        <v>19178.321646620712</v>
      </c>
      <c r="N134" s="314">
        <v>19098.685505326128</v>
      </c>
      <c r="O134" s="31">
        <v>18960.001994008075</v>
      </c>
      <c r="P134" s="31">
        <v>18805.776278049278</v>
      </c>
      <c r="Q134" s="31">
        <v>18592.901730556787</v>
      </c>
      <c r="R134" s="31">
        <v>18427.751540759869</v>
      </c>
      <c r="S134" s="31">
        <v>15518.191686335244</v>
      </c>
      <c r="T134" s="31">
        <v>12515.74389171222</v>
      </c>
      <c r="U134" s="31">
        <v>12049.666129264868</v>
      </c>
      <c r="V134" s="31">
        <v>11637.176259931079</v>
      </c>
      <c r="W134" s="31">
        <v>18137.653352174875</v>
      </c>
      <c r="X134" s="31">
        <v>0</v>
      </c>
      <c r="Y134" s="31">
        <v>0</v>
      </c>
    </row>
    <row r="135" spans="1:25">
      <c r="D135" s="34"/>
      <c r="E135" s="250"/>
    </row>
    <row r="136" spans="1:25">
      <c r="A136" s="29" t="s">
        <v>480</v>
      </c>
      <c r="D136" s="34"/>
      <c r="E136" s="250"/>
    </row>
    <row r="137" spans="1:25">
      <c r="A137" s="261">
        <v>36234</v>
      </c>
      <c r="D137" s="34"/>
      <c r="E137" s="250"/>
    </row>
    <row r="138" spans="1:25">
      <c r="A138" s="254" t="s">
        <v>379</v>
      </c>
      <c r="B138" s="255">
        <v>53520.013009167953</v>
      </c>
      <c r="D138" s="256"/>
      <c r="E138" s="256"/>
      <c r="F138" s="256"/>
      <c r="G138" s="256"/>
      <c r="H138" s="256"/>
      <c r="I138" s="256"/>
      <c r="J138" s="256"/>
      <c r="K138" s="256"/>
      <c r="L138" s="256"/>
      <c r="M138" s="256"/>
      <c r="N138" s="256"/>
      <c r="O138" s="256"/>
      <c r="P138" s="256"/>
      <c r="Q138" s="256"/>
      <c r="R138" s="256"/>
      <c r="S138" s="256"/>
      <c r="T138" s="256"/>
      <c r="U138" s="256"/>
      <c r="V138" s="256"/>
      <c r="W138" s="256"/>
    </row>
    <row r="139" spans="1:25">
      <c r="A139" s="257" t="s">
        <v>380</v>
      </c>
      <c r="B139" s="258">
        <v>92304.608420613135</v>
      </c>
      <c r="D139" s="256"/>
      <c r="E139" s="256"/>
      <c r="F139" s="256"/>
      <c r="G139" s="256"/>
      <c r="H139" s="256"/>
      <c r="I139" s="256"/>
      <c r="J139" s="256"/>
      <c r="K139" s="256"/>
      <c r="L139" s="256"/>
      <c r="M139" s="256"/>
      <c r="N139" s="256"/>
      <c r="O139" s="256"/>
      <c r="P139" s="256"/>
      <c r="Q139" s="256"/>
      <c r="R139" s="256"/>
      <c r="S139" s="256"/>
      <c r="T139" s="256"/>
      <c r="U139" s="256"/>
      <c r="V139" s="256"/>
      <c r="W139" s="256"/>
    </row>
    <row r="140" spans="1:25">
      <c r="A140" s="259" t="s">
        <v>383</v>
      </c>
      <c r="B140" s="304" t="s">
        <v>483</v>
      </c>
      <c r="C140" s="304" t="s">
        <v>484</v>
      </c>
      <c r="D140" s="306">
        <v>2000</v>
      </c>
      <c r="E140" s="307">
        <v>2001</v>
      </c>
      <c r="F140" s="307">
        <v>2002</v>
      </c>
      <c r="G140" s="307">
        <v>2003</v>
      </c>
      <c r="H140" s="307">
        <v>2004</v>
      </c>
      <c r="I140" s="307">
        <v>2005</v>
      </c>
      <c r="J140" s="307">
        <v>2006</v>
      </c>
      <c r="K140" s="307">
        <v>2007</v>
      </c>
      <c r="L140" s="307">
        <v>2008</v>
      </c>
      <c r="M140" s="307">
        <v>2009</v>
      </c>
      <c r="N140" s="308">
        <v>2010</v>
      </c>
      <c r="O140" s="256">
        <v>2011</v>
      </c>
      <c r="P140" s="256">
        <v>2012</v>
      </c>
      <c r="Q140" s="256">
        <v>2013</v>
      </c>
      <c r="R140" s="256">
        <v>2014</v>
      </c>
      <c r="S140" s="256">
        <v>2015</v>
      </c>
      <c r="T140" s="256">
        <v>2016</v>
      </c>
      <c r="U140" s="256">
        <v>2017</v>
      </c>
      <c r="V140" s="256">
        <v>2018</v>
      </c>
      <c r="W140" s="256">
        <v>2019</v>
      </c>
      <c r="X140" s="256">
        <v>2020</v>
      </c>
      <c r="Y140" s="256">
        <v>2021</v>
      </c>
    </row>
    <row r="141" spans="1:25">
      <c r="A141" s="259" t="s">
        <v>381</v>
      </c>
      <c r="B141" s="305">
        <f>NPV(0.1,D141:Y141)</f>
        <v>562277.20544354699</v>
      </c>
      <c r="C141" s="305">
        <f>B141-B131</f>
        <v>0</v>
      </c>
      <c r="D141" s="309">
        <v>32983.897333983332</v>
      </c>
      <c r="E141" s="310">
        <v>46095.412705763527</v>
      </c>
      <c r="F141" s="310">
        <v>46455.911388778433</v>
      </c>
      <c r="G141" s="310">
        <v>58803.211984885209</v>
      </c>
      <c r="H141" s="310">
        <v>68704.223728501631</v>
      </c>
      <c r="I141" s="310">
        <v>70087.667592078171</v>
      </c>
      <c r="J141" s="310">
        <v>71249.634178026041</v>
      </c>
      <c r="K141" s="310">
        <v>72540.137431672163</v>
      </c>
      <c r="L141" s="310">
        <v>73956.089683616592</v>
      </c>
      <c r="M141" s="310">
        <v>75502.527599534165</v>
      </c>
      <c r="N141" s="311">
        <v>77214.154137009144</v>
      </c>
      <c r="O141" s="31">
        <v>79288.060934787049</v>
      </c>
      <c r="P141" s="31">
        <v>81542.247037635243</v>
      </c>
      <c r="Q141" s="31">
        <v>83894.380160621848</v>
      </c>
      <c r="R141" s="31">
        <v>86336.379201749354</v>
      </c>
      <c r="S141" s="31">
        <v>88826.69229730482</v>
      </c>
      <c r="T141" s="31">
        <v>90948.20472020797</v>
      </c>
      <c r="U141" s="31">
        <v>93294.806626503356</v>
      </c>
      <c r="V141" s="31">
        <v>95331.845060452702</v>
      </c>
      <c r="W141" s="31">
        <v>97363.303714721129</v>
      </c>
      <c r="X141" s="31">
        <v>23377.132224294623</v>
      </c>
      <c r="Y141" s="31">
        <v>0</v>
      </c>
    </row>
    <row r="142" spans="1:25">
      <c r="A142" s="260" t="s">
        <v>382</v>
      </c>
      <c r="B142" s="305">
        <f>NPV(0.1,D142:Y142)</f>
        <v>242556.69841328909</v>
      </c>
      <c r="C142" s="305">
        <f>B142-B132</f>
        <v>314.35733746201731</v>
      </c>
      <c r="D142" s="309">
        <v>19981.84752731667</v>
      </c>
      <c r="E142" s="310">
        <v>24360.380217040485</v>
      </c>
      <c r="F142" s="310">
        <v>24810.821747439397</v>
      </c>
      <c r="G142" s="310">
        <v>25176.409426052265</v>
      </c>
      <c r="H142" s="310">
        <v>25627.373378671524</v>
      </c>
      <c r="I142" s="310">
        <v>26118.199188160128</v>
      </c>
      <c r="J142" s="310">
        <v>26755.106112997142</v>
      </c>
      <c r="K142" s="310">
        <v>27528.988410527265</v>
      </c>
      <c r="L142" s="310">
        <v>28437.737287345284</v>
      </c>
      <c r="M142" s="310">
        <v>29431.394711028624</v>
      </c>
      <c r="N142" s="311">
        <v>30657.796401516211</v>
      </c>
      <c r="O142" s="31">
        <v>32072.192131952426</v>
      </c>
      <c r="P142" s="31">
        <v>33669.516566237726</v>
      </c>
      <c r="Q142" s="31">
        <v>35312.165231510335</v>
      </c>
      <c r="R142" s="31">
        <v>37104.901740268891</v>
      </c>
      <c r="S142" s="31">
        <v>38950.989463566191</v>
      </c>
      <c r="T142" s="31">
        <v>40867.666936528425</v>
      </c>
      <c r="U142" s="31">
        <v>42986.27613523628</v>
      </c>
      <c r="V142" s="31">
        <v>44886.369896291137</v>
      </c>
      <c r="W142" s="31">
        <v>46818.163371109622</v>
      </c>
      <c r="X142" s="31">
        <v>2190.4906572060254</v>
      </c>
      <c r="Y142" s="31">
        <v>0</v>
      </c>
    </row>
    <row r="143" spans="1:25">
      <c r="A143" s="260" t="s">
        <v>35</v>
      </c>
      <c r="B143" s="305">
        <f>NPV(0.1,D143:Y143)</f>
        <v>96828.93472265538</v>
      </c>
      <c r="C143" s="305">
        <f>B143-B133</f>
        <v>-137.80208403384313</v>
      </c>
      <c r="D143" s="309">
        <v>-192.61689006486947</v>
      </c>
      <c r="E143" s="310">
        <v>153.40940280525808</v>
      </c>
      <c r="F143" s="310">
        <v>157.36058721786259</v>
      </c>
      <c r="G143" s="310">
        <v>7429.4686167277523</v>
      </c>
      <c r="H143" s="310">
        <v>13149.451473305733</v>
      </c>
      <c r="I143" s="310">
        <v>13992.124505962343</v>
      </c>
      <c r="J143" s="310">
        <v>14616.920087042836</v>
      </c>
      <c r="K143" s="310">
        <v>15164.207863425478</v>
      </c>
      <c r="L143" s="310">
        <v>15764.598081776005</v>
      </c>
      <c r="M143" s="310">
        <v>16425.439805069444</v>
      </c>
      <c r="N143" s="311">
        <v>17081.981181390714</v>
      </c>
      <c r="O143" s="31">
        <v>17850.114050181175</v>
      </c>
      <c r="P143" s="31">
        <v>18692.722909864919</v>
      </c>
      <c r="Q143" s="31">
        <v>19615.028699587587</v>
      </c>
      <c r="R143" s="31">
        <v>20553.787482282452</v>
      </c>
      <c r="S143" s="31">
        <v>21509.753185423549</v>
      </c>
      <c r="T143" s="31">
        <v>22296.397769206487</v>
      </c>
      <c r="U143" s="31">
        <v>23153.520642386276</v>
      </c>
      <c r="V143" s="31">
        <v>24017.170850670675</v>
      </c>
      <c r="W143" s="31">
        <v>24686.177347077064</v>
      </c>
      <c r="X143" s="31">
        <v>0</v>
      </c>
      <c r="Y143" s="31">
        <v>0</v>
      </c>
    </row>
    <row r="144" spans="1:25">
      <c r="A144" s="260" t="s">
        <v>32</v>
      </c>
      <c r="B144" s="305">
        <f>NPV(0.1,D144:Y144)</f>
        <v>135337.33571327434</v>
      </c>
      <c r="C144" s="305">
        <f>B144-B134</f>
        <v>-90.997526822873624</v>
      </c>
      <c r="D144" s="312">
        <v>4426.582893183534</v>
      </c>
      <c r="E144" s="313">
        <v>7985.3035725189502</v>
      </c>
      <c r="F144" s="313">
        <v>7499.2557413935992</v>
      </c>
      <c r="G144" s="313">
        <v>20444.199083447795</v>
      </c>
      <c r="H144" s="313">
        <v>26125.691542659297</v>
      </c>
      <c r="I144" s="313">
        <v>25169.953381268235</v>
      </c>
      <c r="J144" s="313">
        <v>19463.633582266652</v>
      </c>
      <c r="K144" s="313">
        <v>19388.641829507229</v>
      </c>
      <c r="L144" s="313">
        <v>19302.233023296223</v>
      </c>
      <c r="M144" s="313">
        <v>19165.580406886787</v>
      </c>
      <c r="N144" s="314">
        <v>19085.877389523601</v>
      </c>
      <c r="O144" s="31">
        <v>18947.149301714449</v>
      </c>
      <c r="P144" s="31">
        <v>18792.903922298181</v>
      </c>
      <c r="Q144" s="31">
        <v>18580.037471799107</v>
      </c>
      <c r="R144" s="31">
        <v>18414.92624028842</v>
      </c>
      <c r="S144" s="31">
        <v>15505.439580752227</v>
      </c>
      <c r="T144" s="31">
        <v>12503.102890146205</v>
      </c>
      <c r="U144" s="31">
        <v>12037.178135180842</v>
      </c>
      <c r="V144" s="31">
        <v>11624.887519525557</v>
      </c>
      <c r="W144" s="31">
        <v>18115.293864266627</v>
      </c>
      <c r="X144" s="31">
        <v>0</v>
      </c>
      <c r="Y144" s="31">
        <v>0</v>
      </c>
    </row>
    <row r="145" spans="1:25">
      <c r="D145" s="34"/>
      <c r="E145" s="250"/>
    </row>
    <row r="146" spans="1:25">
      <c r="A146" s="29" t="s">
        <v>481</v>
      </c>
      <c r="D146" s="34"/>
      <c r="E146" s="250"/>
    </row>
    <row r="147" spans="1:25">
      <c r="A147" s="261">
        <v>36238</v>
      </c>
      <c r="D147" s="34"/>
      <c r="E147" s="250"/>
    </row>
    <row r="148" spans="1:25">
      <c r="A148" s="254" t="s">
        <v>379</v>
      </c>
      <c r="B148" s="255">
        <v>45069.434929442548</v>
      </c>
      <c r="D148" s="256"/>
      <c r="E148" s="256"/>
      <c r="F148" s="256"/>
      <c r="G148" s="256"/>
      <c r="H148" s="256"/>
      <c r="I148" s="256"/>
      <c r="J148" s="256"/>
      <c r="K148" s="256"/>
      <c r="L148" s="256"/>
      <c r="M148" s="256"/>
      <c r="N148" s="256"/>
      <c r="O148" s="256"/>
      <c r="P148" s="256"/>
      <c r="Q148" s="256"/>
      <c r="R148" s="256"/>
      <c r="S148" s="256"/>
      <c r="T148" s="256"/>
      <c r="U148" s="256"/>
      <c r="V148" s="256"/>
      <c r="W148" s="256"/>
    </row>
    <row r="149" spans="1:25">
      <c r="A149" s="257" t="s">
        <v>380</v>
      </c>
      <c r="B149" s="258">
        <v>81409.652634962025</v>
      </c>
      <c r="D149" s="256"/>
      <c r="E149" s="256"/>
      <c r="F149" s="256"/>
      <c r="G149" s="256"/>
      <c r="H149" s="256"/>
      <c r="I149" s="256"/>
      <c r="J149" s="256"/>
      <c r="K149" s="256"/>
      <c r="L149" s="256"/>
      <c r="M149" s="256"/>
      <c r="N149" s="256"/>
      <c r="O149" s="256"/>
      <c r="P149" s="256"/>
      <c r="Q149" s="256"/>
      <c r="R149" s="256"/>
      <c r="S149" s="256"/>
      <c r="T149" s="256"/>
      <c r="U149" s="256"/>
      <c r="V149" s="256"/>
      <c r="W149" s="256"/>
    </row>
    <row r="150" spans="1:25">
      <c r="A150" s="259" t="s">
        <v>383</v>
      </c>
      <c r="B150" s="304" t="s">
        <v>483</v>
      </c>
      <c r="C150" s="304" t="s">
        <v>484</v>
      </c>
      <c r="D150" s="306">
        <v>2000</v>
      </c>
      <c r="E150" s="307">
        <v>2001</v>
      </c>
      <c r="F150" s="307">
        <v>2002</v>
      </c>
      <c r="G150" s="307">
        <v>2003</v>
      </c>
      <c r="H150" s="307">
        <v>2004</v>
      </c>
      <c r="I150" s="307">
        <v>2005</v>
      </c>
      <c r="J150" s="307">
        <v>2006</v>
      </c>
      <c r="K150" s="307">
        <v>2007</v>
      </c>
      <c r="L150" s="307">
        <v>2008</v>
      </c>
      <c r="M150" s="307">
        <v>2009</v>
      </c>
      <c r="N150" s="308">
        <v>2010</v>
      </c>
      <c r="O150" s="256">
        <v>2011</v>
      </c>
      <c r="P150" s="256">
        <v>2012</v>
      </c>
      <c r="Q150" s="256">
        <v>2013</v>
      </c>
      <c r="R150" s="256">
        <v>2014</v>
      </c>
      <c r="S150" s="256">
        <v>2015</v>
      </c>
      <c r="T150" s="256">
        <v>2016</v>
      </c>
      <c r="U150" s="256">
        <v>2017</v>
      </c>
      <c r="V150" s="256">
        <v>2018</v>
      </c>
      <c r="W150" s="256">
        <v>2019</v>
      </c>
      <c r="X150" s="256">
        <v>2020</v>
      </c>
      <c r="Y150" s="256">
        <v>2021</v>
      </c>
    </row>
    <row r="151" spans="1:25">
      <c r="A151" s="259" t="s">
        <v>381</v>
      </c>
      <c r="B151" s="305">
        <f>NPV(0.1,D151:Y151)</f>
        <v>562486.90748790174</v>
      </c>
      <c r="C151" s="305">
        <f>B151-B141</f>
        <v>209.70204435475171</v>
      </c>
      <c r="D151" s="309">
        <v>32983.897333983332</v>
      </c>
      <c r="E151" s="310">
        <v>46118.48737456667</v>
      </c>
      <c r="F151" s="310">
        <v>46475.629502466676</v>
      </c>
      <c r="G151" s="310">
        <v>58817.97764218942</v>
      </c>
      <c r="H151" s="310">
        <v>68715.019385820968</v>
      </c>
      <c r="I151" s="310">
        <v>70095.626006400416</v>
      </c>
      <c r="J151" s="310">
        <v>71255.789744073962</v>
      </c>
      <c r="K151" s="310">
        <v>72546.227689738182</v>
      </c>
      <c r="L151" s="310">
        <v>73963.809784208934</v>
      </c>
      <c r="M151" s="310">
        <v>75513.654262550946</v>
      </c>
      <c r="N151" s="311">
        <v>77230.997078017419</v>
      </c>
      <c r="O151" s="31">
        <v>79313.089950376903</v>
      </c>
      <c r="P151" s="31">
        <v>81577.843297212123</v>
      </c>
      <c r="Q151" s="31">
        <v>83941.672818926716</v>
      </c>
      <c r="R151" s="31">
        <v>86396.374326122022</v>
      </c>
      <c r="S151" s="31">
        <v>88899.764412232005</v>
      </c>
      <c r="T151" s="31">
        <v>91034.977287422647</v>
      </c>
      <c r="U151" s="31">
        <v>93398.73764289447</v>
      </c>
      <c r="V151" s="31">
        <v>95448.284550735887</v>
      </c>
      <c r="W151" s="31">
        <v>97492.242319645797</v>
      </c>
      <c r="X151" s="31">
        <v>23377.132224294623</v>
      </c>
      <c r="Y151" s="31">
        <v>0</v>
      </c>
    </row>
    <row r="152" spans="1:25">
      <c r="A152" s="260" t="s">
        <v>382</v>
      </c>
      <c r="B152" s="305">
        <f>NPV(0.1,D152:Y152)</f>
        <v>253936.6483440806</v>
      </c>
      <c r="C152" s="305">
        <f>B152-B142</f>
        <v>11379.94993079151</v>
      </c>
      <c r="D152" s="309">
        <v>20622.340667316668</v>
      </c>
      <c r="E152" s="310">
        <v>25514.382773043624</v>
      </c>
      <c r="F152" s="310">
        <v>25995.395584943628</v>
      </c>
      <c r="G152" s="310">
        <v>26390.976478886958</v>
      </c>
      <c r="H152" s="310">
        <v>26873.964473387256</v>
      </c>
      <c r="I152" s="310">
        <v>27399.026903000668</v>
      </c>
      <c r="J152" s="310">
        <v>28072.317058578898</v>
      </c>
      <c r="K152" s="310">
        <v>28885.465709513133</v>
      </c>
      <c r="L152" s="310">
        <v>29836.356040085069</v>
      </c>
      <c r="M152" s="310">
        <v>30875.146985757267</v>
      </c>
      <c r="N152" s="311">
        <v>32150.243722587715</v>
      </c>
      <c r="O152" s="31">
        <v>33617.093659007405</v>
      </c>
      <c r="P152" s="31">
        <v>35270.581512623685</v>
      </c>
      <c r="Q152" s="31">
        <v>36971.890637228549</v>
      </c>
      <c r="R152" s="31">
        <v>38825.702594477312</v>
      </c>
      <c r="S152" s="31">
        <v>40734.691480224203</v>
      </c>
      <c r="T152" s="31">
        <v>42716.38830252584</v>
      </c>
      <c r="U152" s="31">
        <v>44905.014414373618</v>
      </c>
      <c r="V152" s="31">
        <v>46872.060867202927</v>
      </c>
      <c r="W152" s="31">
        <v>48872.431001081764</v>
      </c>
      <c r="X152" s="31">
        <v>3016.7776971222311</v>
      </c>
      <c r="Y152" s="31">
        <v>0</v>
      </c>
    </row>
    <row r="153" spans="1:25">
      <c r="A153" s="260" t="s">
        <v>35</v>
      </c>
      <c r="B153" s="305">
        <f>NPV(0.1,D153:Y153)</f>
        <v>92129.624227026346</v>
      </c>
      <c r="C153" s="305">
        <f>B153-B143</f>
        <v>-4699.3104956290335</v>
      </c>
      <c r="D153" s="309">
        <v>-409.72724859754618</v>
      </c>
      <c r="E153" s="310">
        <v>-239.95649702238003</v>
      </c>
      <c r="F153" s="310">
        <v>-260.17707300883808</v>
      </c>
      <c r="G153" s="310">
        <v>6961.4504141723974</v>
      </c>
      <c r="H153" s="310">
        <v>12667.117864120059</v>
      </c>
      <c r="I153" s="310">
        <v>13494.21821307334</v>
      </c>
      <c r="J153" s="310">
        <v>14102.079889875398</v>
      </c>
      <c r="K153" s="310">
        <v>14590.103800081044</v>
      </c>
      <c r="L153" s="310">
        <v>15170.491500884697</v>
      </c>
      <c r="M153" s="310">
        <v>15809.604398107726</v>
      </c>
      <c r="N153" s="311">
        <v>16442.548751939583</v>
      </c>
      <c r="O153" s="31">
        <v>17139.07883207393</v>
      </c>
      <c r="P153" s="31">
        <v>17953.881834064498</v>
      </c>
      <c r="Q153" s="31">
        <v>18846.015362804232</v>
      </c>
      <c r="R153" s="31">
        <v>19752.04191092297</v>
      </c>
      <c r="S153" s="31">
        <v>20620.750580506567</v>
      </c>
      <c r="T153" s="31">
        <v>21368.898565253403</v>
      </c>
      <c r="U153" s="31">
        <v>22184.285362747803</v>
      </c>
      <c r="V153" s="31">
        <v>23002.696068103818</v>
      </c>
      <c r="W153" s="31">
        <v>23574.657834034195</v>
      </c>
      <c r="X153" s="31">
        <v>0</v>
      </c>
      <c r="Y153" s="31">
        <v>0</v>
      </c>
    </row>
    <row r="154" spans="1:25">
      <c r="A154" s="260" t="s">
        <v>32</v>
      </c>
      <c r="B154" s="305">
        <f>NPV(0.1,D154:Y154)</f>
        <v>132299.2175332529</v>
      </c>
      <c r="C154" s="305">
        <f>B154-B144</f>
        <v>-3038.1181800214399</v>
      </c>
      <c r="D154" s="312">
        <v>4203.2996751953397</v>
      </c>
      <c r="E154" s="313">
        <v>7609.574685234239</v>
      </c>
      <c r="F154" s="313">
        <v>7127.9325901524553</v>
      </c>
      <c r="G154" s="313">
        <v>19717.853627123306</v>
      </c>
      <c r="H154" s="313">
        <v>25394.421720539201</v>
      </c>
      <c r="I154" s="313">
        <v>25880.703442556845</v>
      </c>
      <c r="J154" s="313">
        <v>19258.454618979064</v>
      </c>
      <c r="K154" s="313">
        <v>18953.687348154806</v>
      </c>
      <c r="L154" s="313">
        <v>18874.887134479297</v>
      </c>
      <c r="M154" s="313">
        <v>18746.811830223152</v>
      </c>
      <c r="N154" s="314">
        <v>18676.74314316691</v>
      </c>
      <c r="O154" s="31">
        <v>18502.817872941945</v>
      </c>
      <c r="P154" s="31">
        <v>18360.615908148833</v>
      </c>
      <c r="Q154" s="31">
        <v>18161.161564872607</v>
      </c>
      <c r="R154" s="31">
        <v>18010.952785175279</v>
      </c>
      <c r="S154" s="31">
        <v>15066.235029171294</v>
      </c>
      <c r="T154" s="31">
        <v>12082.187641648801</v>
      </c>
      <c r="U154" s="31">
        <v>11636.471412051884</v>
      </c>
      <c r="V154" s="31">
        <v>11246.475764173891</v>
      </c>
      <c r="W154" s="31">
        <v>17336.451975015691</v>
      </c>
      <c r="X154" s="31">
        <v>0</v>
      </c>
      <c r="Y154" s="31">
        <v>0</v>
      </c>
    </row>
    <row r="155" spans="1:25">
      <c r="D155" s="34"/>
      <c r="E155" s="250"/>
    </row>
    <row r="156" spans="1:25">
      <c r="A156" s="29" t="s">
        <v>482</v>
      </c>
      <c r="D156" s="34"/>
      <c r="E156" s="250"/>
    </row>
    <row r="157" spans="1:25">
      <c r="A157" s="261">
        <v>36240</v>
      </c>
      <c r="D157" s="34"/>
      <c r="E157" s="250"/>
    </row>
    <row r="158" spans="1:25">
      <c r="A158" s="254" t="s">
        <v>379</v>
      </c>
      <c r="B158" s="255">
        <v>48119.857921390736</v>
      </c>
      <c r="D158" s="256"/>
      <c r="E158" s="256"/>
      <c r="F158" s="256"/>
      <c r="G158" s="256"/>
      <c r="H158" s="256"/>
      <c r="I158" s="256"/>
      <c r="J158" s="256"/>
      <c r="K158" s="256"/>
      <c r="L158" s="256"/>
      <c r="M158" s="256"/>
      <c r="N158" s="256"/>
      <c r="O158" s="256"/>
      <c r="P158" s="256"/>
      <c r="Q158" s="256"/>
      <c r="R158" s="256"/>
      <c r="S158" s="256"/>
      <c r="T158" s="256"/>
      <c r="U158" s="256"/>
      <c r="V158" s="256"/>
      <c r="W158" s="256"/>
    </row>
    <row r="159" spans="1:25">
      <c r="A159" s="257" t="s">
        <v>380</v>
      </c>
      <c r="B159" s="258">
        <v>85015.903521503948</v>
      </c>
      <c r="D159" s="256"/>
      <c r="E159" s="256"/>
      <c r="F159" s="256"/>
      <c r="G159" s="256"/>
      <c r="H159" s="256"/>
      <c r="I159" s="256"/>
      <c r="J159" s="256"/>
      <c r="K159" s="256"/>
      <c r="L159" s="256"/>
      <c r="M159" s="256"/>
      <c r="N159" s="256"/>
      <c r="O159" s="256"/>
      <c r="P159" s="256"/>
      <c r="Q159" s="256"/>
      <c r="R159" s="256"/>
      <c r="S159" s="256"/>
      <c r="T159" s="256"/>
      <c r="U159" s="256"/>
      <c r="V159" s="256"/>
      <c r="W159" s="256"/>
    </row>
    <row r="160" spans="1:25">
      <c r="A160" s="259" t="s">
        <v>383</v>
      </c>
      <c r="B160" s="304" t="s">
        <v>483</v>
      </c>
      <c r="C160" s="304" t="s">
        <v>484</v>
      </c>
      <c r="D160" s="306">
        <v>2000</v>
      </c>
      <c r="E160" s="307">
        <v>2001</v>
      </c>
      <c r="F160" s="307">
        <v>2002</v>
      </c>
      <c r="G160" s="307">
        <v>2003</v>
      </c>
      <c r="H160" s="307">
        <v>2004</v>
      </c>
      <c r="I160" s="307">
        <v>2005</v>
      </c>
      <c r="J160" s="307">
        <v>2006</v>
      </c>
      <c r="K160" s="307">
        <v>2007</v>
      </c>
      <c r="L160" s="307">
        <v>2008</v>
      </c>
      <c r="M160" s="307">
        <v>2009</v>
      </c>
      <c r="N160" s="308">
        <v>2010</v>
      </c>
      <c r="O160" s="256">
        <v>2011</v>
      </c>
      <c r="P160" s="256">
        <v>2012</v>
      </c>
      <c r="Q160" s="256">
        <v>2013</v>
      </c>
      <c r="R160" s="256">
        <v>2014</v>
      </c>
      <c r="S160" s="256">
        <v>2015</v>
      </c>
      <c r="T160" s="256">
        <v>2016</v>
      </c>
      <c r="U160" s="256">
        <v>2017</v>
      </c>
      <c r="V160" s="256">
        <v>2018</v>
      </c>
      <c r="W160" s="256">
        <v>2019</v>
      </c>
      <c r="X160" s="256">
        <v>2020</v>
      </c>
      <c r="Y160" s="256">
        <v>2021</v>
      </c>
    </row>
    <row r="161" spans="1:25">
      <c r="A161" s="259" t="s">
        <v>381</v>
      </c>
      <c r="B161" s="305">
        <f>NPV(0.1,D161:Y161)</f>
        <v>562486.90748790174</v>
      </c>
      <c r="C161" s="305">
        <f>B161-B151</f>
        <v>0</v>
      </c>
      <c r="D161" s="309">
        <v>32983.897333983332</v>
      </c>
      <c r="E161" s="310">
        <v>46118.48737456667</v>
      </c>
      <c r="F161" s="310">
        <v>46475.629502466676</v>
      </c>
      <c r="G161" s="310">
        <v>58817.97764218942</v>
      </c>
      <c r="H161" s="310">
        <v>68715.019385820968</v>
      </c>
      <c r="I161" s="310">
        <v>70095.626006400416</v>
      </c>
      <c r="J161" s="310">
        <v>71255.789744073962</v>
      </c>
      <c r="K161" s="310">
        <v>72546.227689738182</v>
      </c>
      <c r="L161" s="310">
        <v>73963.809784208934</v>
      </c>
      <c r="M161" s="310">
        <v>75513.654262550946</v>
      </c>
      <c r="N161" s="311">
        <v>77230.997078017419</v>
      </c>
      <c r="O161" s="31">
        <v>79313.089950376903</v>
      </c>
      <c r="P161" s="31">
        <v>81577.843297212123</v>
      </c>
      <c r="Q161" s="31">
        <v>83941.672818926716</v>
      </c>
      <c r="R161" s="31">
        <v>86396.374326122022</v>
      </c>
      <c r="S161" s="31">
        <v>88899.764412232005</v>
      </c>
      <c r="T161" s="31">
        <v>91034.977287422647</v>
      </c>
      <c r="U161" s="31">
        <v>93398.73764289447</v>
      </c>
      <c r="V161" s="31">
        <v>95448.284550735887</v>
      </c>
      <c r="W161" s="31">
        <v>97492.242319645797</v>
      </c>
      <c r="X161" s="31">
        <v>23377.132224294623</v>
      </c>
      <c r="Y161" s="31">
        <v>0</v>
      </c>
    </row>
    <row r="162" spans="1:25">
      <c r="A162" s="260" t="s">
        <v>382</v>
      </c>
      <c r="B162" s="305">
        <f>NPV(0.1,D162:Y162)</f>
        <v>253871.2247672597</v>
      </c>
      <c r="C162" s="305">
        <f>B162-B152</f>
        <v>-65.423576820903691</v>
      </c>
      <c r="D162" s="309">
        <v>20622.340667316668</v>
      </c>
      <c r="E162" s="310">
        <v>25504.284872528668</v>
      </c>
      <c r="F162" s="310">
        <v>25985.297684428668</v>
      </c>
      <c r="G162" s="310">
        <v>26380.878578371998</v>
      </c>
      <c r="H162" s="310">
        <v>26863.866572872299</v>
      </c>
      <c r="I162" s="310">
        <v>27390.140750547504</v>
      </c>
      <c r="J162" s="310">
        <v>28063.430906125734</v>
      </c>
      <c r="K162" s="310">
        <v>28876.579557059973</v>
      </c>
      <c r="L162" s="310">
        <v>29827.469887631905</v>
      </c>
      <c r="M162" s="310">
        <v>30867.472581365895</v>
      </c>
      <c r="N162" s="311">
        <v>32142.569318196347</v>
      </c>
      <c r="O162" s="31">
        <v>33609.419254616034</v>
      </c>
      <c r="P162" s="31">
        <v>35262.907108232321</v>
      </c>
      <c r="Q162" s="31">
        <v>36965.427980898974</v>
      </c>
      <c r="R162" s="31">
        <v>38819.239938147744</v>
      </c>
      <c r="S162" s="31">
        <v>40728.228823894628</v>
      </c>
      <c r="T162" s="31">
        <v>42709.925646196265</v>
      </c>
      <c r="U162" s="31">
        <v>44899.763506105839</v>
      </c>
      <c r="V162" s="31">
        <v>46866.809958935148</v>
      </c>
      <c r="W162" s="31">
        <v>48867.180092813986</v>
      </c>
      <c r="X162" s="31">
        <v>3016.7776971222311</v>
      </c>
      <c r="Y162" s="31">
        <v>0</v>
      </c>
    </row>
    <row r="163" spans="1:25">
      <c r="A163" s="260" t="s">
        <v>35</v>
      </c>
      <c r="B163" s="305">
        <f>NPV(0.1,D163:Y163)</f>
        <v>92787.297694676541</v>
      </c>
      <c r="C163" s="305">
        <f>B163-B153</f>
        <v>657.67346765019465</v>
      </c>
      <c r="D163" s="309">
        <v>-365.72559039832129</v>
      </c>
      <c r="E163" s="310">
        <v>-158.51014625141559</v>
      </c>
      <c r="F163" s="310">
        <v>-178.55468723381713</v>
      </c>
      <c r="G163" s="310">
        <v>7043.262477664287</v>
      </c>
      <c r="H163" s="310">
        <v>12749.010927700747</v>
      </c>
      <c r="I163" s="310">
        <v>13575.467672791816</v>
      </c>
      <c r="J163" s="310">
        <v>14183.400433410789</v>
      </c>
      <c r="K163" s="310">
        <v>14671.501114138702</v>
      </c>
      <c r="L163" s="310">
        <v>15251.971727106411</v>
      </c>
      <c r="M163" s="310">
        <v>15890.443085508499</v>
      </c>
      <c r="N163" s="311">
        <v>16523.460753401851</v>
      </c>
      <c r="O163" s="31">
        <v>17220.070012722608</v>
      </c>
      <c r="P163" s="31">
        <v>18034.958528234492</v>
      </c>
      <c r="Q163" s="31">
        <v>18926.453327619136</v>
      </c>
      <c r="R163" s="31">
        <v>19832.556224022486</v>
      </c>
      <c r="S163" s="31">
        <v>20701.347349753465</v>
      </c>
      <c r="T163" s="31">
        <v>21449.584387139475</v>
      </c>
      <c r="U163" s="31">
        <v>22264.336277526061</v>
      </c>
      <c r="V163" s="31">
        <v>23082.827459193741</v>
      </c>
      <c r="W163" s="31">
        <v>23654.784754045962</v>
      </c>
      <c r="X163" s="31">
        <v>0</v>
      </c>
      <c r="Y163" s="31">
        <v>0</v>
      </c>
    </row>
    <row r="164" spans="1:25">
      <c r="A164" s="260" t="s">
        <v>32</v>
      </c>
      <c r="B164" s="305">
        <f>NPV(0.1,D164:Y164)</f>
        <v>131713.73542123163</v>
      </c>
      <c r="C164" s="305">
        <f>B164-B154</f>
        <v>-585.48211202127277</v>
      </c>
      <c r="D164" s="312">
        <v>4208.7578516371486</v>
      </c>
      <c r="E164" s="313">
        <v>7606.5740999401896</v>
      </c>
      <c r="F164" s="313">
        <v>7135.0299053733688</v>
      </c>
      <c r="G164" s="313">
        <v>19727.643715814876</v>
      </c>
      <c r="H164" s="313">
        <v>25404.211809230768</v>
      </c>
      <c r="I164" s="313">
        <v>25445.139040180504</v>
      </c>
      <c r="J164" s="313">
        <v>18984.625599551066</v>
      </c>
      <c r="K164" s="313">
        <v>18875.307609292835</v>
      </c>
      <c r="L164" s="313">
        <v>18796.593604936341</v>
      </c>
      <c r="M164" s="313">
        <v>18669.28406958079</v>
      </c>
      <c r="N164" s="314">
        <v>18598.096154224375</v>
      </c>
      <c r="O164" s="31">
        <v>18423.978104849652</v>
      </c>
      <c r="P164" s="31">
        <v>18281.860639067108</v>
      </c>
      <c r="Q164" s="31">
        <v>18083.170217558378</v>
      </c>
      <c r="R164" s="31">
        <v>17931.840214657113</v>
      </c>
      <c r="S164" s="31">
        <v>15028.58105660422</v>
      </c>
      <c r="T164" s="31">
        <v>12085.987930052383</v>
      </c>
      <c r="U164" s="31">
        <v>11641.173830609307</v>
      </c>
      <c r="V164" s="31">
        <v>11249.913524092291</v>
      </c>
      <c r="W164" s="31">
        <v>17343.107172854267</v>
      </c>
      <c r="X164" s="31">
        <v>0</v>
      </c>
      <c r="Y164" s="31">
        <v>0</v>
      </c>
    </row>
    <row r="166" spans="1:25">
      <c r="A166" s="29" t="s">
        <v>485</v>
      </c>
    </row>
    <row r="167" spans="1:25">
      <c r="A167" s="261">
        <v>36248</v>
      </c>
    </row>
    <row r="168" spans="1:25">
      <c r="A168" s="254" t="s">
        <v>379</v>
      </c>
      <c r="B168" s="255">
        <v>47955.805164881793</v>
      </c>
      <c r="C168" s="256"/>
      <c r="D168" s="256"/>
      <c r="E168" s="256"/>
      <c r="F168" s="256"/>
      <c r="G168" s="256"/>
      <c r="H168" s="256"/>
      <c r="I168" s="256"/>
      <c r="J168" s="256"/>
      <c r="K168" s="256"/>
      <c r="L168" s="256"/>
      <c r="M168" s="256"/>
      <c r="N168" s="256"/>
      <c r="O168" s="256"/>
      <c r="P168" s="256"/>
      <c r="Q168" s="256"/>
      <c r="R168" s="256"/>
      <c r="S168" s="256"/>
      <c r="T168" s="256"/>
      <c r="U168" s="256"/>
      <c r="V168" s="256"/>
    </row>
    <row r="169" spans="1:25">
      <c r="A169" s="257" t="s">
        <v>380</v>
      </c>
      <c r="B169" s="258">
        <v>84809.903521503948</v>
      </c>
      <c r="C169" s="256"/>
      <c r="D169" s="256"/>
      <c r="E169" s="256"/>
      <c r="F169" s="256"/>
      <c r="G169" s="256"/>
      <c r="H169" s="256"/>
      <c r="I169" s="256"/>
      <c r="J169" s="256"/>
      <c r="K169" s="256"/>
      <c r="L169" s="256"/>
      <c r="M169" s="256"/>
      <c r="N169" s="256"/>
      <c r="O169" s="256"/>
      <c r="P169" s="256"/>
      <c r="Q169" s="256"/>
      <c r="R169" s="256"/>
      <c r="S169" s="256"/>
      <c r="T169" s="256"/>
      <c r="U169" s="256"/>
      <c r="V169" s="256"/>
    </row>
    <row r="170" spans="1:25">
      <c r="A170" s="259" t="s">
        <v>383</v>
      </c>
      <c r="B170" s="304" t="s">
        <v>483</v>
      </c>
      <c r="C170" s="304" t="s">
        <v>484</v>
      </c>
      <c r="D170" s="306">
        <v>2000</v>
      </c>
      <c r="E170" s="307">
        <v>2001</v>
      </c>
      <c r="F170" s="307">
        <v>2002</v>
      </c>
      <c r="G170" s="307">
        <v>2003</v>
      </c>
      <c r="H170" s="307">
        <v>2004</v>
      </c>
      <c r="I170" s="307">
        <v>2005</v>
      </c>
      <c r="J170" s="307">
        <v>2006</v>
      </c>
      <c r="K170" s="307">
        <v>2007</v>
      </c>
      <c r="L170" s="307">
        <v>2008</v>
      </c>
      <c r="M170" s="307">
        <v>2009</v>
      </c>
      <c r="N170" s="308">
        <v>2010</v>
      </c>
      <c r="O170" s="256">
        <v>2011</v>
      </c>
      <c r="P170" s="256">
        <v>2012</v>
      </c>
      <c r="Q170" s="256">
        <v>2013</v>
      </c>
      <c r="R170" s="256">
        <v>2014</v>
      </c>
      <c r="S170" s="256">
        <v>2015</v>
      </c>
      <c r="T170" s="256">
        <v>2016</v>
      </c>
      <c r="U170" s="256">
        <v>2017</v>
      </c>
      <c r="V170" s="256">
        <v>2018</v>
      </c>
      <c r="W170" s="256">
        <v>2019</v>
      </c>
      <c r="X170" s="256">
        <v>2020</v>
      </c>
    </row>
    <row r="171" spans="1:25">
      <c r="A171" s="259" t="s">
        <v>381</v>
      </c>
      <c r="B171" s="305">
        <f>NPV(0.1,D171:Y171)</f>
        <v>562486.90748790174</v>
      </c>
      <c r="C171" s="305">
        <f>B171-B161</f>
        <v>0</v>
      </c>
      <c r="D171" s="309">
        <v>32983.897333983332</v>
      </c>
      <c r="E171" s="310">
        <v>46118.48737456667</v>
      </c>
      <c r="F171" s="310">
        <v>46475.629502466676</v>
      </c>
      <c r="G171" s="310">
        <v>58817.97764218942</v>
      </c>
      <c r="H171" s="310">
        <v>68715.019385820968</v>
      </c>
      <c r="I171" s="310">
        <v>70095.626006400416</v>
      </c>
      <c r="J171" s="310">
        <v>71255.789744073962</v>
      </c>
      <c r="K171" s="310">
        <v>72546.227689738182</v>
      </c>
      <c r="L171" s="310">
        <v>73963.809784208934</v>
      </c>
      <c r="M171" s="310">
        <v>75513.654262550946</v>
      </c>
      <c r="N171" s="311">
        <v>77230.997078017419</v>
      </c>
      <c r="O171" s="31">
        <v>79313.089950376903</v>
      </c>
      <c r="P171" s="31">
        <v>81577.843297212123</v>
      </c>
      <c r="Q171" s="31">
        <v>83941.672818926716</v>
      </c>
      <c r="R171" s="31">
        <v>86396.374326122022</v>
      </c>
      <c r="S171" s="31">
        <v>88899.764412232005</v>
      </c>
      <c r="T171" s="31">
        <v>91034.977287422647</v>
      </c>
      <c r="U171" s="31">
        <v>93398.73764289447</v>
      </c>
      <c r="V171" s="31">
        <v>95448.284550735887</v>
      </c>
      <c r="W171" s="31">
        <v>97492.242319645797</v>
      </c>
      <c r="X171" s="31">
        <v>23377.132224294623</v>
      </c>
    </row>
    <row r="172" spans="1:25">
      <c r="A172" s="260" t="s">
        <v>382</v>
      </c>
      <c r="B172" s="305">
        <f>NPV(0.1,D172:Y172)</f>
        <v>253871.2247672597</v>
      </c>
      <c r="C172" s="305">
        <f>B172-B162</f>
        <v>0</v>
      </c>
      <c r="D172" s="309">
        <v>20622.340667316668</v>
      </c>
      <c r="E172" s="310">
        <v>25504.284872528668</v>
      </c>
      <c r="F172" s="310">
        <v>25985.297684428668</v>
      </c>
      <c r="G172" s="310">
        <v>26380.878578371998</v>
      </c>
      <c r="H172" s="310">
        <v>26863.866572872299</v>
      </c>
      <c r="I172" s="310">
        <v>27390.140750547504</v>
      </c>
      <c r="J172" s="310">
        <v>28063.430906125734</v>
      </c>
      <c r="K172" s="310">
        <v>28876.579557059973</v>
      </c>
      <c r="L172" s="310">
        <v>29827.469887631905</v>
      </c>
      <c r="M172" s="310">
        <v>30867.472581365895</v>
      </c>
      <c r="N172" s="311">
        <v>32142.569318196347</v>
      </c>
      <c r="O172" s="31">
        <v>33609.419254616034</v>
      </c>
      <c r="P172" s="31">
        <v>35262.907108232321</v>
      </c>
      <c r="Q172" s="31">
        <v>36965.427980898974</v>
      </c>
      <c r="R172" s="31">
        <v>38819.239938147744</v>
      </c>
      <c r="S172" s="31">
        <v>40728.228823894628</v>
      </c>
      <c r="T172" s="31">
        <v>42709.925646196265</v>
      </c>
      <c r="U172" s="31">
        <v>44899.763506105839</v>
      </c>
      <c r="V172" s="31">
        <v>46866.809958935148</v>
      </c>
      <c r="W172" s="31">
        <v>48867.180092813986</v>
      </c>
      <c r="X172" s="31">
        <v>3016.7776971222311</v>
      </c>
    </row>
    <row r="173" spans="1:25">
      <c r="A173" s="260" t="s">
        <v>35</v>
      </c>
      <c r="B173" s="305">
        <f>NPV(0.1,D173:Y173)</f>
        <v>92698.219057315189</v>
      </c>
      <c r="C173" s="305">
        <f>B173-B163</f>
        <v>-89.078637361351866</v>
      </c>
      <c r="D173" s="309">
        <v>-379.8793099783212</v>
      </c>
      <c r="E173" s="310">
        <v>-182.77366553141582</v>
      </c>
      <c r="F173" s="310">
        <v>-202.81820651381736</v>
      </c>
      <c r="G173" s="310">
        <v>7018.9989583842871</v>
      </c>
      <c r="H173" s="310">
        <v>12724.747408420746</v>
      </c>
      <c r="I173" s="310">
        <v>13565.281853511813</v>
      </c>
      <c r="J173" s="310">
        <v>14183.270114130788</v>
      </c>
      <c r="K173" s="310">
        <v>14671.370794858702</v>
      </c>
      <c r="L173" s="310">
        <v>15251.841407826412</v>
      </c>
      <c r="M173" s="310">
        <v>15890.312766228499</v>
      </c>
      <c r="N173" s="311">
        <v>16523.330434121846</v>
      </c>
      <c r="O173" s="31">
        <v>17219.939693442604</v>
      </c>
      <c r="P173" s="31">
        <v>18034.828208954495</v>
      </c>
      <c r="Q173" s="31">
        <v>18926.323008339135</v>
      </c>
      <c r="R173" s="31">
        <v>19832.425904742486</v>
      </c>
      <c r="S173" s="31">
        <v>20701.217030473461</v>
      </c>
      <c r="T173" s="31">
        <v>21449.454067859475</v>
      </c>
      <c r="U173" s="31">
        <v>22264.205958246057</v>
      </c>
      <c r="V173" s="31">
        <v>23082.69713991374</v>
      </c>
      <c r="W173" s="31">
        <v>23654.654434765958</v>
      </c>
      <c r="X173" s="31">
        <v>0</v>
      </c>
    </row>
    <row r="174" spans="1:25">
      <c r="A174" s="260" t="s">
        <v>32</v>
      </c>
      <c r="B174" s="305">
        <f>NPV(0.1,D174:Y174)</f>
        <v>131758.37159042025</v>
      </c>
      <c r="C174" s="305">
        <f>B174-B164</f>
        <v>44.636169188626809</v>
      </c>
      <c r="D174" s="312">
        <v>4208.4488516371484</v>
      </c>
      <c r="E174" s="313">
        <v>7606.3680999401895</v>
      </c>
      <c r="F174" s="313">
        <v>7134.8239053733687</v>
      </c>
      <c r="G174" s="313">
        <v>19727.437715814878</v>
      </c>
      <c r="H174" s="313">
        <v>25404.00580923077</v>
      </c>
      <c r="I174" s="313">
        <v>25525.8432480925</v>
      </c>
      <c r="J174" s="313">
        <v>18984.641734751065</v>
      </c>
      <c r="K174" s="313">
        <v>18875.323982494836</v>
      </c>
      <c r="L174" s="313">
        <v>18796.60974013634</v>
      </c>
      <c r="M174" s="313">
        <v>18669.300442782791</v>
      </c>
      <c r="N174" s="314">
        <v>18598.112289424374</v>
      </c>
      <c r="O174" s="31">
        <v>18423.994478051653</v>
      </c>
      <c r="P174" s="31">
        <v>18281.876774267108</v>
      </c>
      <c r="Q174" s="31">
        <v>18083.186590760379</v>
      </c>
      <c r="R174" s="31">
        <v>17931.856349857113</v>
      </c>
      <c r="S174" s="31">
        <v>15028.52698121422</v>
      </c>
      <c r="T174" s="31">
        <v>12085.863644072382</v>
      </c>
      <c r="U174" s="31">
        <v>11641.049544629306</v>
      </c>
      <c r="V174" s="31">
        <v>11249.789238112291</v>
      </c>
      <c r="W174" s="31">
        <v>17342.982886874262</v>
      </c>
      <c r="X174" s="31">
        <v>0</v>
      </c>
    </row>
    <row r="176" spans="1:25">
      <c r="A176" s="29" t="s">
        <v>486</v>
      </c>
    </row>
    <row r="177" spans="1:24">
      <c r="A177" s="261">
        <v>36249</v>
      </c>
    </row>
    <row r="178" spans="1:24">
      <c r="A178" s="254" t="s">
        <v>379</v>
      </c>
      <c r="B178" s="255">
        <v>47613.885442050669</v>
      </c>
      <c r="C178" s="256"/>
      <c r="D178" s="256"/>
      <c r="E178" s="256"/>
      <c r="F178" s="256"/>
      <c r="G178" s="256"/>
      <c r="H178" s="256"/>
      <c r="I178" s="256"/>
      <c r="J178" s="256"/>
      <c r="K178" s="256"/>
      <c r="L178" s="256"/>
      <c r="M178" s="256"/>
      <c r="N178" s="256"/>
      <c r="O178" s="256"/>
      <c r="P178" s="256"/>
      <c r="Q178" s="256"/>
      <c r="R178" s="256"/>
      <c r="S178" s="256"/>
      <c r="T178" s="256"/>
      <c r="U178" s="256"/>
      <c r="V178" s="256"/>
    </row>
    <row r="179" spans="1:24">
      <c r="A179" s="257" t="s">
        <v>380</v>
      </c>
      <c r="B179" s="258">
        <v>84405.174948376094</v>
      </c>
      <c r="C179" s="256"/>
      <c r="D179" s="256"/>
      <c r="E179" s="256"/>
      <c r="F179" s="256"/>
      <c r="G179" s="256"/>
      <c r="H179" s="256"/>
      <c r="I179" s="256"/>
      <c r="J179" s="256"/>
      <c r="K179" s="256"/>
      <c r="L179" s="256"/>
      <c r="M179" s="256"/>
      <c r="N179" s="256"/>
      <c r="O179" s="256"/>
      <c r="P179" s="256"/>
      <c r="Q179" s="256"/>
      <c r="R179" s="256"/>
      <c r="S179" s="256"/>
      <c r="T179" s="256"/>
      <c r="U179" s="256"/>
      <c r="V179" s="256"/>
    </row>
    <row r="180" spans="1:24">
      <c r="A180" s="259" t="s">
        <v>383</v>
      </c>
      <c r="B180" s="304" t="s">
        <v>483</v>
      </c>
      <c r="C180" s="304" t="s">
        <v>484</v>
      </c>
      <c r="D180" s="306">
        <v>2000</v>
      </c>
      <c r="E180" s="307">
        <v>2001</v>
      </c>
      <c r="F180" s="307">
        <v>2002</v>
      </c>
      <c r="G180" s="307">
        <v>2003</v>
      </c>
      <c r="H180" s="307">
        <v>2004</v>
      </c>
      <c r="I180" s="307">
        <v>2005</v>
      </c>
      <c r="J180" s="307">
        <v>2006</v>
      </c>
      <c r="K180" s="307">
        <v>2007</v>
      </c>
      <c r="L180" s="307">
        <v>2008</v>
      </c>
      <c r="M180" s="307">
        <v>2009</v>
      </c>
      <c r="N180" s="308">
        <v>2010</v>
      </c>
      <c r="O180" s="256">
        <v>2011</v>
      </c>
      <c r="P180" s="256">
        <v>2012</v>
      </c>
      <c r="Q180" s="256">
        <v>2013</v>
      </c>
      <c r="R180" s="256">
        <v>2014</v>
      </c>
      <c r="S180" s="256">
        <v>2015</v>
      </c>
      <c r="T180" s="256">
        <v>2016</v>
      </c>
      <c r="U180" s="256">
        <v>2017</v>
      </c>
      <c r="V180" s="256">
        <v>2018</v>
      </c>
      <c r="W180" s="256">
        <v>2019</v>
      </c>
      <c r="X180" s="256">
        <v>2020</v>
      </c>
    </row>
    <row r="181" spans="1:24">
      <c r="A181" s="259" t="s">
        <v>381</v>
      </c>
      <c r="B181" s="305">
        <f>NPV(0.1,D181:Y181)</f>
        <v>562486.90748790174</v>
      </c>
      <c r="C181" s="305">
        <f>B181-B171</f>
        <v>0</v>
      </c>
      <c r="D181" s="309">
        <v>32983.897333983332</v>
      </c>
      <c r="E181" s="310">
        <v>46118.48737456667</v>
      </c>
      <c r="F181" s="310">
        <v>46475.629502466676</v>
      </c>
      <c r="G181" s="310">
        <v>58817.97764218942</v>
      </c>
      <c r="H181" s="310">
        <v>68715.019385820968</v>
      </c>
      <c r="I181" s="310">
        <v>70095.626006400416</v>
      </c>
      <c r="J181" s="310">
        <v>71255.789744073962</v>
      </c>
      <c r="K181" s="310">
        <v>72546.227689738182</v>
      </c>
      <c r="L181" s="310">
        <v>73963.809784208934</v>
      </c>
      <c r="M181" s="310">
        <v>75513.654262550946</v>
      </c>
      <c r="N181" s="311">
        <v>77230.997078017419</v>
      </c>
      <c r="O181" s="31">
        <v>79313.089950376903</v>
      </c>
      <c r="P181" s="31">
        <v>81577.843297212123</v>
      </c>
      <c r="Q181" s="31">
        <v>83941.672818926716</v>
      </c>
      <c r="R181" s="31">
        <v>86396.374326122022</v>
      </c>
      <c r="S181" s="31">
        <v>88899.764412232005</v>
      </c>
      <c r="T181" s="31">
        <v>91034.977287422647</v>
      </c>
      <c r="U181" s="31">
        <v>93398.73764289447</v>
      </c>
      <c r="V181" s="31">
        <v>95448.284550735887</v>
      </c>
      <c r="W181" s="31">
        <v>97492.242319645797</v>
      </c>
      <c r="X181" s="31">
        <v>23377.132224294623</v>
      </c>
    </row>
    <row r="182" spans="1:24">
      <c r="A182" s="260" t="s">
        <v>382</v>
      </c>
      <c r="B182" s="305">
        <f>NPV(0.1,D182:Y182)</f>
        <v>253871.2247672597</v>
      </c>
      <c r="C182" s="305">
        <f>B182-B172</f>
        <v>0</v>
      </c>
      <c r="D182" s="309">
        <v>20622.340667316668</v>
      </c>
      <c r="E182" s="310">
        <v>25504.284872528668</v>
      </c>
      <c r="F182" s="310">
        <v>25985.297684428668</v>
      </c>
      <c r="G182" s="310">
        <v>26380.878578371998</v>
      </c>
      <c r="H182" s="310">
        <v>26863.866572872299</v>
      </c>
      <c r="I182" s="310">
        <v>27390.140750547504</v>
      </c>
      <c r="J182" s="310">
        <v>28063.430906125734</v>
      </c>
      <c r="K182" s="310">
        <v>28876.579557059973</v>
      </c>
      <c r="L182" s="310">
        <v>29827.469887631905</v>
      </c>
      <c r="M182" s="310">
        <v>30867.472581365895</v>
      </c>
      <c r="N182" s="311">
        <v>32142.569318196347</v>
      </c>
      <c r="O182" s="31">
        <v>33609.419254616034</v>
      </c>
      <c r="P182" s="31">
        <v>35262.907108232321</v>
      </c>
      <c r="Q182" s="31">
        <v>36965.427980898974</v>
      </c>
      <c r="R182" s="31">
        <v>38819.239938147744</v>
      </c>
      <c r="S182" s="31">
        <v>40728.228823894628</v>
      </c>
      <c r="T182" s="31">
        <v>42709.925646196265</v>
      </c>
      <c r="U182" s="31">
        <v>44899.763506105839</v>
      </c>
      <c r="V182" s="31">
        <v>46866.809958935148</v>
      </c>
      <c r="W182" s="31">
        <v>48867.180092813986</v>
      </c>
      <c r="X182" s="31">
        <v>3016.7776971222311</v>
      </c>
    </row>
    <row r="183" spans="1:24">
      <c r="A183" s="260" t="s">
        <v>35</v>
      </c>
      <c r="B183" s="305">
        <f>NPV(0.1,D183:Y183)</f>
        <v>92626.709040927351</v>
      </c>
      <c r="C183" s="305">
        <f>B183-B173</f>
        <v>-71.510016387837823</v>
      </c>
      <c r="D183" s="309">
        <v>-385.00719266885073</v>
      </c>
      <c r="E183" s="310">
        <v>-191.56432157232427</v>
      </c>
      <c r="F183" s="310">
        <v>-211.60886255472582</v>
      </c>
      <c r="G183" s="310">
        <v>7010.208302343377</v>
      </c>
      <c r="H183" s="310">
        <v>12715.956752379841</v>
      </c>
      <c r="I183" s="310">
        <v>13556.491197470908</v>
      </c>
      <c r="J183" s="310">
        <v>14174.479458089883</v>
      </c>
      <c r="K183" s="310">
        <v>14662.580138817797</v>
      </c>
      <c r="L183" s="310">
        <v>15243.050751785506</v>
      </c>
      <c r="M183" s="310">
        <v>15881.522110187594</v>
      </c>
      <c r="N183" s="311">
        <v>16514.539778080944</v>
      </c>
      <c r="O183" s="31">
        <v>17211.149037401701</v>
      </c>
      <c r="P183" s="31">
        <v>18026.037552913585</v>
      </c>
      <c r="Q183" s="31">
        <v>18917.532352298229</v>
      </c>
      <c r="R183" s="31">
        <v>19823.635248701583</v>
      </c>
      <c r="S183" s="31">
        <v>20692.426374432558</v>
      </c>
      <c r="T183" s="31">
        <v>21440.663411818568</v>
      </c>
      <c r="U183" s="31">
        <v>22255.415302205154</v>
      </c>
      <c r="V183" s="31">
        <v>23073.906483872837</v>
      </c>
      <c r="W183" s="31">
        <v>23645.863778725055</v>
      </c>
      <c r="X183" s="31">
        <v>0</v>
      </c>
    </row>
    <row r="184" spans="1:24">
      <c r="A184" s="260" t="s">
        <v>32</v>
      </c>
      <c r="B184" s="305">
        <f>NPV(0.1,D184:Y184)</f>
        <v>131827.63674457831</v>
      </c>
      <c r="C184" s="305">
        <f>B184-B174</f>
        <v>69.265154158056248</v>
      </c>
      <c r="D184" s="312">
        <v>4207.8417587774566</v>
      </c>
      <c r="E184" s="313">
        <v>7605.9633713670619</v>
      </c>
      <c r="F184" s="313">
        <v>7134.4191768002411</v>
      </c>
      <c r="G184" s="313">
        <v>19727.03298724175</v>
      </c>
      <c r="H184" s="313">
        <v>25403.601080657649</v>
      </c>
      <c r="I184" s="313">
        <v>25596.976784709906</v>
      </c>
      <c r="J184" s="313">
        <v>18993.869627164098</v>
      </c>
      <c r="K184" s="313">
        <v>18884.567929276182</v>
      </c>
      <c r="L184" s="313">
        <v>18805.83763254937</v>
      </c>
      <c r="M184" s="313">
        <v>18678.544389564133</v>
      </c>
      <c r="N184" s="314">
        <v>18607.340181837404</v>
      </c>
      <c r="O184" s="31">
        <v>18433.238424832991</v>
      </c>
      <c r="P184" s="31">
        <v>18291.104666680138</v>
      </c>
      <c r="Q184" s="31">
        <v>18092.430537541721</v>
      </c>
      <c r="R184" s="31">
        <v>17941.084242270143</v>
      </c>
      <c r="S184" s="31">
        <v>15033.018834975719</v>
      </c>
      <c r="T184" s="31">
        <v>12085.619459182359</v>
      </c>
      <c r="U184" s="31">
        <v>11640.805359739283</v>
      </c>
      <c r="V184" s="31">
        <v>11249.545053222268</v>
      </c>
      <c r="W184" s="31">
        <v>17342.738701984239</v>
      </c>
      <c r="X184" s="31">
        <v>0</v>
      </c>
    </row>
    <row r="186" spans="1:24">
      <c r="A186" s="29" t="s">
        <v>488</v>
      </c>
    </row>
    <row r="187" spans="1:24">
      <c r="A187" s="261">
        <v>36250</v>
      </c>
    </row>
    <row r="188" spans="1:24">
      <c r="A188" s="254" t="s">
        <v>379</v>
      </c>
      <c r="B188" s="255">
        <v>39980.875711469715</v>
      </c>
      <c r="C188" s="256"/>
      <c r="D188" s="256"/>
      <c r="E188" s="256"/>
      <c r="F188" s="256"/>
      <c r="G188" s="256"/>
      <c r="H188" s="256"/>
      <c r="I188" s="256"/>
      <c r="J188" s="256"/>
      <c r="K188" s="256"/>
      <c r="L188" s="256"/>
      <c r="M188" s="256"/>
      <c r="N188" s="256"/>
      <c r="O188" s="256"/>
      <c r="P188" s="256"/>
      <c r="Q188" s="256"/>
      <c r="R188" s="256"/>
      <c r="S188" s="256"/>
      <c r="T188" s="256"/>
      <c r="U188" s="256"/>
      <c r="V188" s="256"/>
    </row>
    <row r="189" spans="1:24">
      <c r="A189" s="257" t="s">
        <v>380</v>
      </c>
      <c r="B189" s="258">
        <v>75506.835761076654</v>
      </c>
      <c r="C189" s="256"/>
      <c r="D189" s="256"/>
      <c r="E189" s="256"/>
      <c r="F189" s="256"/>
      <c r="G189" s="256"/>
      <c r="H189" s="256"/>
      <c r="I189" s="256"/>
      <c r="J189" s="256"/>
      <c r="K189" s="256"/>
      <c r="L189" s="256"/>
      <c r="M189" s="256"/>
      <c r="N189" s="256"/>
      <c r="O189" s="256"/>
      <c r="P189" s="256"/>
      <c r="Q189" s="256"/>
      <c r="R189" s="256"/>
      <c r="S189" s="256"/>
      <c r="T189" s="256"/>
      <c r="U189" s="256"/>
      <c r="V189" s="256"/>
    </row>
    <row r="190" spans="1:24">
      <c r="A190" s="259" t="s">
        <v>383</v>
      </c>
      <c r="B190" s="304" t="s">
        <v>483</v>
      </c>
      <c r="C190" s="304" t="s">
        <v>484</v>
      </c>
      <c r="D190" s="306">
        <v>2000</v>
      </c>
      <c r="E190" s="307">
        <v>2001</v>
      </c>
      <c r="F190" s="307">
        <v>2002</v>
      </c>
      <c r="G190" s="307">
        <v>2003</v>
      </c>
      <c r="H190" s="307">
        <v>2004</v>
      </c>
      <c r="I190" s="307">
        <v>2005</v>
      </c>
      <c r="J190" s="307">
        <v>2006</v>
      </c>
      <c r="K190" s="307">
        <v>2007</v>
      </c>
      <c r="L190" s="307">
        <v>2008</v>
      </c>
      <c r="M190" s="307">
        <v>2009</v>
      </c>
      <c r="N190" s="308">
        <v>2010</v>
      </c>
      <c r="O190" s="256">
        <v>2011</v>
      </c>
      <c r="P190" s="256">
        <v>2012</v>
      </c>
      <c r="Q190" s="256">
        <v>2013</v>
      </c>
      <c r="R190" s="256">
        <v>2014</v>
      </c>
      <c r="S190" s="256">
        <v>2015</v>
      </c>
      <c r="T190" s="256">
        <v>2016</v>
      </c>
      <c r="U190" s="256">
        <v>2017</v>
      </c>
      <c r="V190" s="256">
        <v>2018</v>
      </c>
      <c r="W190" s="256">
        <v>2019</v>
      </c>
      <c r="X190" s="256">
        <v>2020</v>
      </c>
    </row>
    <row r="191" spans="1:24">
      <c r="A191" s="259" t="s">
        <v>381</v>
      </c>
      <c r="B191" s="305">
        <f>NPV(0.1,D191:Y191)</f>
        <v>562486.90748790174</v>
      </c>
      <c r="C191" s="305">
        <f>B191-B181</f>
        <v>0</v>
      </c>
      <c r="D191" s="309">
        <v>32983.897333983332</v>
      </c>
      <c r="E191" s="310">
        <v>46118.48737456667</v>
      </c>
      <c r="F191" s="310">
        <v>46475.629502466676</v>
      </c>
      <c r="G191" s="310">
        <v>58817.97764218942</v>
      </c>
      <c r="H191" s="310">
        <v>68715.019385820968</v>
      </c>
      <c r="I191" s="310">
        <v>70095.626006400416</v>
      </c>
      <c r="J191" s="310">
        <v>71255.789744073962</v>
      </c>
      <c r="K191" s="310">
        <v>72546.227689738182</v>
      </c>
      <c r="L191" s="310">
        <v>73963.809784208934</v>
      </c>
      <c r="M191" s="310">
        <v>75513.654262550946</v>
      </c>
      <c r="N191" s="311">
        <v>77230.997078017419</v>
      </c>
      <c r="O191" s="31">
        <v>79313.089950376903</v>
      </c>
      <c r="P191" s="31">
        <v>81577.843297212123</v>
      </c>
      <c r="Q191" s="31">
        <v>83941.672818926716</v>
      </c>
      <c r="R191" s="31">
        <v>86396.374326122022</v>
      </c>
      <c r="S191" s="31">
        <v>88899.764412232005</v>
      </c>
      <c r="T191" s="31">
        <v>91034.977287422647</v>
      </c>
      <c r="U191" s="31">
        <v>93398.73764289447</v>
      </c>
      <c r="V191" s="31">
        <v>95448.284550735887</v>
      </c>
      <c r="W191" s="31">
        <v>97492.242319645797</v>
      </c>
      <c r="X191" s="31">
        <v>23377.132224294623</v>
      </c>
    </row>
    <row r="192" spans="1:24">
      <c r="A192" s="260" t="s">
        <v>382</v>
      </c>
      <c r="B192" s="305">
        <f>NPV(0.1,D192:Y192)</f>
        <v>253909.67214710172</v>
      </c>
      <c r="C192" s="305">
        <f>B192-B182</f>
        <v>38.447379842022201</v>
      </c>
      <c r="D192" s="309">
        <v>20622.340667316668</v>
      </c>
      <c r="E192" s="310">
        <v>25510.219091285442</v>
      </c>
      <c r="F192" s="310">
        <v>25991.231903185446</v>
      </c>
      <c r="G192" s="310">
        <v>26386.812797128776</v>
      </c>
      <c r="H192" s="310">
        <v>26869.800791629074</v>
      </c>
      <c r="I192" s="310">
        <v>27395.362863053466</v>
      </c>
      <c r="J192" s="310">
        <v>28068.653018631696</v>
      </c>
      <c r="K192" s="310">
        <v>28881.801669565935</v>
      </c>
      <c r="L192" s="310">
        <v>29832.692000137868</v>
      </c>
      <c r="M192" s="310">
        <v>30871.982587621045</v>
      </c>
      <c r="N192" s="311">
        <v>32147.079324451497</v>
      </c>
      <c r="O192" s="31">
        <v>33613.929260871184</v>
      </c>
      <c r="P192" s="31">
        <v>35267.417114487471</v>
      </c>
      <c r="Q192" s="31">
        <v>36969.225880903308</v>
      </c>
      <c r="R192" s="31">
        <v>38823.037838152079</v>
      </c>
      <c r="S192" s="31">
        <v>40732.026723898969</v>
      </c>
      <c r="T192" s="31">
        <v>42713.723546200607</v>
      </c>
      <c r="U192" s="31">
        <v>44902.849299859365</v>
      </c>
      <c r="V192" s="31">
        <v>46869.895752688673</v>
      </c>
      <c r="W192" s="31">
        <v>48870.265886567511</v>
      </c>
      <c r="X192" s="31">
        <v>3016.7776971222311</v>
      </c>
    </row>
    <row r="193" spans="1:24">
      <c r="A193" s="260" t="s">
        <v>35</v>
      </c>
      <c r="B193" s="305">
        <f>NPV(0.1,D193:Y193)</f>
        <v>91141.420882429171</v>
      </c>
      <c r="C193" s="305">
        <f>B193-B183</f>
        <v>-1485.2881584981806</v>
      </c>
      <c r="D193" s="309">
        <v>-481.89255010848279</v>
      </c>
      <c r="E193" s="310">
        <v>-361.18829501326559</v>
      </c>
      <c r="F193" s="310">
        <v>-381.33628623479103</v>
      </c>
      <c r="G193" s="310">
        <v>6840.3694110306569</v>
      </c>
      <c r="H193" s="310">
        <v>12546.070259860757</v>
      </c>
      <c r="I193" s="310">
        <v>13372.905230713252</v>
      </c>
      <c r="J193" s="310">
        <v>13980.79621760718</v>
      </c>
      <c r="K193" s="310">
        <v>14468.851782712045</v>
      </c>
      <c r="L193" s="310">
        <v>15049.273670806855</v>
      </c>
      <c r="M193" s="310">
        <v>15688.122041410521</v>
      </c>
      <c r="N193" s="311">
        <v>16321.096624934182</v>
      </c>
      <c r="O193" s="31">
        <v>17017.659353135681</v>
      </c>
      <c r="P193" s="31">
        <v>17832.497615038767</v>
      </c>
      <c r="Q193" s="31">
        <v>18724.367775590206</v>
      </c>
      <c r="R193" s="31">
        <v>19630.425804506307</v>
      </c>
      <c r="S193" s="31">
        <v>20499.168473351056</v>
      </c>
      <c r="T193" s="31">
        <v>21247.353177299938</v>
      </c>
      <c r="U193" s="31">
        <v>22062.47818263873</v>
      </c>
      <c r="V193" s="31">
        <v>22880.922070907407</v>
      </c>
      <c r="W193" s="31">
        <v>23452.881993271738</v>
      </c>
      <c r="X193" s="31">
        <v>0</v>
      </c>
    </row>
    <row r="194" spans="1:24">
      <c r="A194" s="260" t="s">
        <v>32</v>
      </c>
      <c r="B194" s="305">
        <f>NPV(0.1,D194:Y194)</f>
        <v>133220.86370680542</v>
      </c>
      <c r="C194" s="305">
        <f>B194-B184</f>
        <v>1393.2269622271124</v>
      </c>
      <c r="D194" s="312">
        <v>4194.4655717044689</v>
      </c>
      <c r="E194" s="313">
        <v>7600.9476621509875</v>
      </c>
      <c r="F194" s="313">
        <v>7123.4692488273877</v>
      </c>
      <c r="G194" s="313">
        <v>19714.500600933759</v>
      </c>
      <c r="H194" s="313">
        <v>25391.068694349651</v>
      </c>
      <c r="I194" s="313">
        <v>25877.550273091689</v>
      </c>
      <c r="J194" s="313">
        <v>20384.625516613261</v>
      </c>
      <c r="K194" s="313">
        <v>19084.008563451272</v>
      </c>
      <c r="L194" s="313">
        <v>19004.961158642425</v>
      </c>
      <c r="M194" s="313">
        <v>18877.484342917145</v>
      </c>
      <c r="N194" s="314">
        <v>18806.671424910404</v>
      </c>
      <c r="O194" s="31">
        <v>18632.949403728082</v>
      </c>
      <c r="P194" s="31">
        <v>18490.499542587713</v>
      </c>
      <c r="Q194" s="31">
        <v>18291.642926211309</v>
      </c>
      <c r="R194" s="31">
        <v>18140.689093001969</v>
      </c>
      <c r="S194" s="31">
        <v>15129.65832616336</v>
      </c>
      <c r="T194" s="31">
        <v>12079.296139532918</v>
      </c>
      <c r="U194" s="31">
        <v>11633.95188655228</v>
      </c>
      <c r="V194" s="31">
        <v>11243.434780169337</v>
      </c>
      <c r="W194" s="31">
        <v>17334.737641789336</v>
      </c>
      <c r="X194" s="31">
        <v>0</v>
      </c>
    </row>
    <row r="196" spans="1:24">
      <c r="A196" s="29" t="s">
        <v>489</v>
      </c>
    </row>
    <row r="197" spans="1:24">
      <c r="A197" s="261">
        <v>36250</v>
      </c>
    </row>
    <row r="198" spans="1:24">
      <c r="A198" s="254" t="s">
        <v>379</v>
      </c>
      <c r="B198" s="255">
        <v>46408.342918902774</v>
      </c>
      <c r="C198" s="256"/>
      <c r="D198" s="256"/>
      <c r="E198" s="256"/>
      <c r="F198" s="256"/>
      <c r="G198" s="256"/>
      <c r="H198" s="256"/>
      <c r="I198" s="256"/>
      <c r="J198" s="256"/>
      <c r="K198" s="256"/>
      <c r="L198" s="256"/>
      <c r="M198" s="256"/>
      <c r="N198" s="256"/>
      <c r="O198" s="256"/>
      <c r="P198" s="256"/>
      <c r="Q198" s="256"/>
      <c r="R198" s="256"/>
      <c r="S198" s="256"/>
      <c r="T198" s="256"/>
      <c r="U198" s="256"/>
      <c r="V198" s="256"/>
    </row>
    <row r="199" spans="1:24">
      <c r="A199" s="257" t="s">
        <v>380</v>
      </c>
      <c r="B199" s="258">
        <v>83777.634525592162</v>
      </c>
      <c r="C199" s="256"/>
      <c r="D199" s="256"/>
      <c r="E199" s="256"/>
      <c r="F199" s="256"/>
      <c r="G199" s="256"/>
      <c r="H199" s="256"/>
      <c r="I199" s="256"/>
      <c r="J199" s="256"/>
      <c r="K199" s="256"/>
      <c r="L199" s="256"/>
      <c r="M199" s="256"/>
      <c r="N199" s="256"/>
      <c r="O199" s="256"/>
      <c r="P199" s="256"/>
      <c r="Q199" s="256"/>
      <c r="R199" s="256"/>
      <c r="S199" s="256"/>
      <c r="T199" s="256"/>
      <c r="U199" s="256"/>
      <c r="V199" s="256"/>
    </row>
    <row r="200" spans="1:24">
      <c r="A200" s="259" t="s">
        <v>383</v>
      </c>
      <c r="B200" s="304" t="s">
        <v>483</v>
      </c>
      <c r="C200" s="304" t="s">
        <v>484</v>
      </c>
      <c r="D200" s="306">
        <v>2000</v>
      </c>
      <c r="E200" s="307">
        <v>2001</v>
      </c>
      <c r="F200" s="307">
        <v>2002</v>
      </c>
      <c r="G200" s="307">
        <v>2003</v>
      </c>
      <c r="H200" s="307">
        <v>2004</v>
      </c>
      <c r="I200" s="307">
        <v>2005</v>
      </c>
      <c r="J200" s="307">
        <v>2006</v>
      </c>
      <c r="K200" s="307">
        <v>2007</v>
      </c>
      <c r="L200" s="307">
        <v>2008</v>
      </c>
      <c r="M200" s="307">
        <v>2009</v>
      </c>
      <c r="N200" s="308">
        <v>2010</v>
      </c>
      <c r="O200" s="256">
        <v>2011</v>
      </c>
      <c r="P200" s="256">
        <v>2012</v>
      </c>
      <c r="Q200" s="256">
        <v>2013</v>
      </c>
      <c r="R200" s="256">
        <v>2014</v>
      </c>
      <c r="S200" s="256">
        <v>2015</v>
      </c>
      <c r="T200" s="256">
        <v>2016</v>
      </c>
      <c r="U200" s="256">
        <v>2017</v>
      </c>
      <c r="V200" s="256">
        <v>2018</v>
      </c>
      <c r="W200" s="256">
        <v>2019</v>
      </c>
      <c r="X200" s="256">
        <v>2020</v>
      </c>
    </row>
    <row r="201" spans="1:24">
      <c r="A201" s="259" t="s">
        <v>381</v>
      </c>
      <c r="B201" s="305">
        <f>NPV(0.1,D201:Y201)</f>
        <v>575391.61849042994</v>
      </c>
      <c r="C201" s="305">
        <f>B201-B191</f>
        <v>12904.711002528202</v>
      </c>
      <c r="D201" s="309">
        <v>33733.10847818233</v>
      </c>
      <c r="E201" s="310">
        <v>47172.831097600661</v>
      </c>
      <c r="F201" s="310">
        <v>47537.74838423467</v>
      </c>
      <c r="G201" s="310">
        <v>60167.544633014142</v>
      </c>
      <c r="H201" s="310">
        <v>70294.934745332066</v>
      </c>
      <c r="I201" s="310">
        <v>71707.126226903682</v>
      </c>
      <c r="J201" s="310">
        <v>72893.686157549979</v>
      </c>
      <c r="K201" s="310">
        <v>74213.497994278936</v>
      </c>
      <c r="L201" s="310">
        <v>75663.358987562446</v>
      </c>
      <c r="M201" s="310">
        <v>77248.504230597944</v>
      </c>
      <c r="N201" s="311">
        <v>79004.978728327231</v>
      </c>
      <c r="O201" s="31">
        <v>81134.63230091492</v>
      </c>
      <c r="P201" s="31">
        <v>83451.127951345057</v>
      </c>
      <c r="Q201" s="31">
        <v>85868.959545960301</v>
      </c>
      <c r="R201" s="31">
        <v>88379.733566480514</v>
      </c>
      <c r="S201" s="31">
        <v>90940.296269922954</v>
      </c>
      <c r="T201" s="31">
        <v>93124.048372770631</v>
      </c>
      <c r="U201" s="31">
        <v>95541.57116197898</v>
      </c>
      <c r="V201" s="31">
        <v>97637.627607546543</v>
      </c>
      <c r="W201" s="31">
        <v>99727.934078551392</v>
      </c>
      <c r="X201" s="31">
        <v>23922.598642861496</v>
      </c>
    </row>
    <row r="202" spans="1:24">
      <c r="A202" s="260" t="s">
        <v>382</v>
      </c>
      <c r="B202" s="305">
        <f>NPV(0.1,D202:Y202)</f>
        <v>258592.70304806015</v>
      </c>
      <c r="C202" s="305">
        <f>B202-B192</f>
        <v>4683.0309009584307</v>
      </c>
      <c r="D202" s="309">
        <v>21028.551811515666</v>
      </c>
      <c r="E202" s="310">
        <v>25976.562814319441</v>
      </c>
      <c r="F202" s="310">
        <v>26465.350784953447</v>
      </c>
      <c r="G202" s="310">
        <v>26866.644860113171</v>
      </c>
      <c r="H202" s="310">
        <v>27357.253632951484</v>
      </c>
      <c r="I202" s="310">
        <v>27892.586784566549</v>
      </c>
      <c r="J202" s="310">
        <v>28577.659673458649</v>
      </c>
      <c r="K202" s="310">
        <v>29405.6947968883</v>
      </c>
      <c r="L202" s="310">
        <v>30374.523363372282</v>
      </c>
      <c r="M202" s="310">
        <v>31434.942652333695</v>
      </c>
      <c r="N202" s="311">
        <v>32735.190630474903</v>
      </c>
      <c r="O202" s="31">
        <v>34231.474391860131</v>
      </c>
      <c r="P202" s="31">
        <v>35918.55734460277</v>
      </c>
      <c r="Q202" s="31">
        <v>37656.215744680187</v>
      </c>
      <c r="R202" s="31">
        <v>39547.958559642022</v>
      </c>
      <c r="S202" s="31">
        <v>41496.006174949805</v>
      </c>
      <c r="T202" s="31">
        <v>43518.288321451706</v>
      </c>
      <c r="U202" s="31">
        <v>45753.894268348799</v>
      </c>
      <c r="V202" s="31">
        <v>47760.887139655249</v>
      </c>
      <c r="W202" s="31">
        <v>49801.811678920632</v>
      </c>
      <c r="X202" s="31">
        <v>3016.7776971222311</v>
      </c>
    </row>
    <row r="203" spans="1:24">
      <c r="A203" s="260" t="s">
        <v>35</v>
      </c>
      <c r="B203" s="305">
        <f>NPV(0.1,D203:Y203)</f>
        <v>94691.467445531191</v>
      </c>
      <c r="C203" s="305">
        <f>B203-B193</f>
        <v>3550.0465631020197</v>
      </c>
      <c r="D203" s="309">
        <v>-393.88084937415533</v>
      </c>
      <c r="E203" s="310">
        <v>-209.07676381838749</v>
      </c>
      <c r="F203" s="310">
        <v>-227.01310029381042</v>
      </c>
      <c r="G203" s="310">
        <v>7167.054788974473</v>
      </c>
      <c r="H203" s="310">
        <v>13007.655611124286</v>
      </c>
      <c r="I203" s="310">
        <v>13852.515069068089</v>
      </c>
      <c r="J203" s="310">
        <v>14474.89660866385</v>
      </c>
      <c r="K203" s="310">
        <v>14978.102722862559</v>
      </c>
      <c r="L203" s="310">
        <v>15574.379108557403</v>
      </c>
      <c r="M203" s="310">
        <v>16229.833312017774</v>
      </c>
      <c r="N203" s="311">
        <v>16880.216162883444</v>
      </c>
      <c r="O203" s="31">
        <v>17597.676616693825</v>
      </c>
      <c r="P203" s="31">
        <v>18434.571736066995</v>
      </c>
      <c r="Q203" s="31">
        <v>19349.740920842363</v>
      </c>
      <c r="R203" s="31">
        <v>20280.429698098509</v>
      </c>
      <c r="S203" s="31">
        <v>21175.23144253558</v>
      </c>
      <c r="T203" s="31">
        <v>21944.905549495888</v>
      </c>
      <c r="U203" s="31">
        <v>22782.603531902736</v>
      </c>
      <c r="V203" s="31">
        <v>23624.781475461965</v>
      </c>
      <c r="W203" s="31">
        <v>24216.39888635332</v>
      </c>
      <c r="X203" s="31">
        <v>0</v>
      </c>
    </row>
    <row r="204" spans="1:24">
      <c r="A204" s="260" t="s">
        <v>32</v>
      </c>
      <c r="B204" s="305">
        <f>NPV(0.1,D204:Y204)</f>
        <v>135733.24085684604</v>
      </c>
      <c r="C204" s="305">
        <f>B204-B194</f>
        <v>2512.3771500406147</v>
      </c>
      <c r="D204" s="312">
        <v>4320.157234452543</v>
      </c>
      <c r="E204" s="313">
        <v>7809.9098817608101</v>
      </c>
      <c r="F204" s="313">
        <v>7332.4314684372112</v>
      </c>
      <c r="G204" s="313">
        <v>20249.303777247784</v>
      </c>
      <c r="H204" s="313">
        <v>26059.508424872689</v>
      </c>
      <c r="I204" s="313">
        <v>26559.078272095616</v>
      </c>
      <c r="J204" s="313">
        <v>19644.816992192038</v>
      </c>
      <c r="K204" s="313">
        <v>19446.53794019527</v>
      </c>
      <c r="L204" s="313">
        <v>19365.671112725075</v>
      </c>
      <c r="M204" s="313">
        <v>19235.779735848377</v>
      </c>
      <c r="N204" s="314">
        <v>19161.909708560168</v>
      </c>
      <c r="O204" s="31">
        <v>18985.324232509134</v>
      </c>
      <c r="P204" s="31">
        <v>18839.26102224068</v>
      </c>
      <c r="Q204" s="31">
        <v>18635.977513053986</v>
      </c>
      <c r="R204" s="31">
        <v>18479.714751238607</v>
      </c>
      <c r="S204" s="31">
        <v>15462.419316026688</v>
      </c>
      <c r="T204" s="31">
        <v>12402.700882650697</v>
      </c>
      <c r="U204" s="31">
        <v>11946.884970183994</v>
      </c>
      <c r="V204" s="31">
        <v>11544.701360112849</v>
      </c>
      <c r="W204" s="31">
        <v>17813.736635579047</v>
      </c>
      <c r="X204" s="31">
        <v>0</v>
      </c>
    </row>
    <row r="206" spans="1:24">
      <c r="A206" s="29" t="s">
        <v>496</v>
      </c>
    </row>
    <row r="207" spans="1:24">
      <c r="A207" s="261">
        <v>36251</v>
      </c>
    </row>
    <row r="208" spans="1:24">
      <c r="A208" s="254" t="s">
        <v>379</v>
      </c>
      <c r="B208" s="255">
        <v>46302.729709607309</v>
      </c>
      <c r="C208" s="256"/>
      <c r="D208" s="256"/>
      <c r="E208" s="256"/>
      <c r="F208" s="256"/>
      <c r="G208" s="256"/>
      <c r="H208" s="256"/>
      <c r="I208" s="256"/>
      <c r="J208" s="256"/>
      <c r="K208" s="256"/>
      <c r="L208" s="256"/>
      <c r="M208" s="256"/>
      <c r="N208" s="256"/>
      <c r="O208" s="256"/>
      <c r="P208" s="256"/>
      <c r="Q208" s="256"/>
      <c r="R208" s="256"/>
      <c r="S208" s="256"/>
      <c r="T208" s="256"/>
      <c r="U208" s="256"/>
      <c r="V208" s="256"/>
    </row>
    <row r="209" spans="1:24">
      <c r="A209" s="257" t="s">
        <v>380</v>
      </c>
      <c r="B209" s="258">
        <v>83079.884783514324</v>
      </c>
      <c r="C209" s="256"/>
      <c r="D209" s="256"/>
      <c r="E209" s="256"/>
      <c r="F209" s="256"/>
      <c r="G209" s="256"/>
      <c r="H209" s="256"/>
      <c r="I209" s="256"/>
      <c r="J209" s="256"/>
      <c r="K209" s="256"/>
      <c r="L209" s="256"/>
      <c r="M209" s="256"/>
      <c r="N209" s="256"/>
      <c r="O209" s="256"/>
      <c r="P209" s="256"/>
      <c r="Q209" s="256"/>
      <c r="R209" s="256"/>
      <c r="S209" s="256"/>
      <c r="T209" s="256"/>
      <c r="U209" s="256"/>
      <c r="V209" s="256"/>
    </row>
    <row r="210" spans="1:24">
      <c r="A210" s="259" t="s">
        <v>383</v>
      </c>
      <c r="B210" s="304" t="s">
        <v>483</v>
      </c>
      <c r="C210" s="304" t="s">
        <v>484</v>
      </c>
      <c r="D210" s="306">
        <v>2000</v>
      </c>
      <c r="E210" s="307">
        <v>2001</v>
      </c>
      <c r="F210" s="307">
        <v>2002</v>
      </c>
      <c r="G210" s="307">
        <v>2003</v>
      </c>
      <c r="H210" s="307">
        <v>2004</v>
      </c>
      <c r="I210" s="307">
        <v>2005</v>
      </c>
      <c r="J210" s="307">
        <v>2006</v>
      </c>
      <c r="K210" s="307">
        <v>2007</v>
      </c>
      <c r="L210" s="307">
        <v>2008</v>
      </c>
      <c r="M210" s="307">
        <v>2009</v>
      </c>
      <c r="N210" s="308">
        <v>2010</v>
      </c>
      <c r="O210" s="256">
        <v>2011</v>
      </c>
      <c r="P210" s="256">
        <v>2012</v>
      </c>
      <c r="Q210" s="256">
        <v>2013</v>
      </c>
      <c r="R210" s="256">
        <v>2014</v>
      </c>
      <c r="S210" s="256">
        <v>2015</v>
      </c>
      <c r="T210" s="256">
        <v>2016</v>
      </c>
      <c r="U210" s="256">
        <v>2017</v>
      </c>
      <c r="V210" s="256">
        <v>2018</v>
      </c>
      <c r="W210" s="256">
        <v>2019</v>
      </c>
      <c r="X210" s="256">
        <v>2020</v>
      </c>
    </row>
    <row r="211" spans="1:24">
      <c r="A211" s="259" t="s">
        <v>381</v>
      </c>
      <c r="B211" s="305">
        <f>NPV(0.1,D211:Y211)</f>
        <v>575391.61849042994</v>
      </c>
      <c r="C211" s="305">
        <f>B211-B201</f>
        <v>0</v>
      </c>
      <c r="D211" s="309">
        <v>33733.10847818233</v>
      </c>
      <c r="E211" s="310">
        <v>47172.831097600661</v>
      </c>
      <c r="F211" s="310">
        <v>47537.74838423467</v>
      </c>
      <c r="G211" s="310">
        <v>60167.544633014142</v>
      </c>
      <c r="H211" s="310">
        <v>70294.934745332066</v>
      </c>
      <c r="I211" s="310">
        <v>71707.126226903682</v>
      </c>
      <c r="J211" s="310">
        <v>72893.686157549979</v>
      </c>
      <c r="K211" s="310">
        <v>74213.497994278936</v>
      </c>
      <c r="L211" s="310">
        <v>75663.358987562446</v>
      </c>
      <c r="M211" s="310">
        <v>77248.504230597944</v>
      </c>
      <c r="N211" s="311">
        <v>79004.978728327231</v>
      </c>
      <c r="O211" s="31">
        <v>81134.63230091492</v>
      </c>
      <c r="P211" s="31">
        <v>83451.127951345057</v>
      </c>
      <c r="Q211" s="31">
        <v>85868.959545960301</v>
      </c>
      <c r="R211" s="31">
        <v>88379.733566480514</v>
      </c>
      <c r="S211" s="31">
        <v>90940.296269922954</v>
      </c>
      <c r="T211" s="31">
        <v>93124.048372770631</v>
      </c>
      <c r="U211" s="31">
        <v>95541.57116197898</v>
      </c>
      <c r="V211" s="31">
        <v>97637.627607546543</v>
      </c>
      <c r="W211" s="31">
        <v>99727.934078551392</v>
      </c>
      <c r="X211" s="31">
        <v>23922.598642861496</v>
      </c>
    </row>
    <row r="212" spans="1:24">
      <c r="A212" s="260" t="s">
        <v>382</v>
      </c>
      <c r="B212" s="305">
        <f>NPV(0.1,D212:Y212)</f>
        <v>259282.0064155299</v>
      </c>
      <c r="C212" s="305">
        <f>B212-B202</f>
        <v>689.30336746975081</v>
      </c>
      <c r="D212" s="309">
        <v>21143.844236162677</v>
      </c>
      <c r="E212" s="310">
        <v>26053.42443075078</v>
      </c>
      <c r="F212" s="310">
        <v>26542.212401384786</v>
      </c>
      <c r="G212" s="310">
        <v>26943.506476544509</v>
      </c>
      <c r="H212" s="310">
        <v>27434.115249382823</v>
      </c>
      <c r="I212" s="310">
        <v>27969.448400997888</v>
      </c>
      <c r="J212" s="310">
        <v>28654.521289889988</v>
      </c>
      <c r="K212" s="310">
        <v>29482.556413319639</v>
      </c>
      <c r="L212" s="310">
        <v>30451.384979803621</v>
      </c>
      <c r="M212" s="310">
        <v>31511.804268765034</v>
      </c>
      <c r="N212" s="311">
        <v>32812.052246906242</v>
      </c>
      <c r="O212" s="31">
        <v>34308.336008291473</v>
      </c>
      <c r="P212" s="31">
        <v>35995.418961034113</v>
      </c>
      <c r="Q212" s="31">
        <v>37733.077361111529</v>
      </c>
      <c r="R212" s="31">
        <v>39624.820176073365</v>
      </c>
      <c r="S212" s="31">
        <v>41572.867791381148</v>
      </c>
      <c r="T212" s="31">
        <v>43595.149937883049</v>
      </c>
      <c r="U212" s="31">
        <v>45830.755884780141</v>
      </c>
      <c r="V212" s="31">
        <v>47837.748756086592</v>
      </c>
      <c r="W212" s="31">
        <v>49878.673295351975</v>
      </c>
      <c r="X212" s="31">
        <v>3016.7776971222311</v>
      </c>
    </row>
    <row r="213" spans="1:24">
      <c r="A213" s="260" t="s">
        <v>35</v>
      </c>
      <c r="B213" s="305">
        <f>NPV(0.1,D213:Y213)</f>
        <v>94365.560566914777</v>
      </c>
      <c r="C213" s="305">
        <f>B213-B203</f>
        <v>-325.90687861641345</v>
      </c>
      <c r="D213" s="309">
        <v>-452.94069964914621</v>
      </c>
      <c r="E213" s="310">
        <v>-240.19923265799511</v>
      </c>
      <c r="F213" s="310">
        <v>-259.29568487486159</v>
      </c>
      <c r="G213" s="310">
        <v>7133.5221796820133</v>
      </c>
      <c r="H213" s="310">
        <v>12973.721940705273</v>
      </c>
      <c r="I213" s="310">
        <v>13818.148252632396</v>
      </c>
      <c r="J213" s="310">
        <v>14440.061994530142</v>
      </c>
      <c r="K213" s="310">
        <v>14942.762887215004</v>
      </c>
      <c r="L213" s="310">
        <v>15538.493633674881</v>
      </c>
      <c r="M213" s="310">
        <v>16193.358546761499</v>
      </c>
      <c r="N213" s="311">
        <v>16843.104964023507</v>
      </c>
      <c r="O213" s="31">
        <v>17559.87806954193</v>
      </c>
      <c r="P213" s="31">
        <v>18396.030852759795</v>
      </c>
      <c r="Q213" s="31">
        <v>19310.398314487426</v>
      </c>
      <c r="R213" s="31">
        <v>20240.221230852021</v>
      </c>
      <c r="S213" s="31">
        <v>21134.087845526214</v>
      </c>
      <c r="T213" s="31">
        <v>21902.752012342615</v>
      </c>
      <c r="U213" s="31">
        <v>22739.359259394048</v>
      </c>
      <c r="V213" s="31">
        <v>23580.359208769423</v>
      </c>
      <c r="W213" s="31">
        <v>24171.399979727841</v>
      </c>
      <c r="X213" s="31">
        <v>0</v>
      </c>
    </row>
    <row r="214" spans="1:24">
      <c r="A214" s="260" t="s">
        <v>32</v>
      </c>
      <c r="B214" s="305">
        <f>NPV(0.1,D214:Y214)</f>
        <v>136005.69362776721</v>
      </c>
      <c r="C214" s="305">
        <f>B214-B204</f>
        <v>272.45277092116885</v>
      </c>
      <c r="D214" s="312">
        <v>4395.7985832116774</v>
      </c>
      <c r="E214" s="313">
        <v>7859.6328827829484</v>
      </c>
      <c r="F214" s="313">
        <v>7382.1544694593522</v>
      </c>
      <c r="G214" s="313">
        <v>20278.530347221556</v>
      </c>
      <c r="H214" s="313">
        <v>26088.734994846469</v>
      </c>
      <c r="I214" s="313">
        <v>26588.304842069403</v>
      </c>
      <c r="J214" s="313">
        <v>19616.835998219296</v>
      </c>
      <c r="K214" s="313">
        <v>19468.655458960027</v>
      </c>
      <c r="L214" s="313">
        <v>19388.147371674026</v>
      </c>
      <c r="M214" s="313">
        <v>19258.643434196281</v>
      </c>
      <c r="N214" s="314">
        <v>19185.191841458924</v>
      </c>
      <c r="O214" s="31">
        <v>19009.058274722789</v>
      </c>
      <c r="P214" s="31">
        <v>18863.483126514446</v>
      </c>
      <c r="Q214" s="31">
        <v>18660.726724352669</v>
      </c>
      <c r="R214" s="31">
        <v>18505.033238124208</v>
      </c>
      <c r="S214" s="31">
        <v>15488.352620546159</v>
      </c>
      <c r="T214" s="31">
        <v>12429.298190214733</v>
      </c>
      <c r="U214" s="31">
        <v>11974.19940103617</v>
      </c>
      <c r="V214" s="31">
        <v>11572.790284116218</v>
      </c>
      <c r="W214" s="31">
        <v>17817.737067160888</v>
      </c>
      <c r="X214" s="31">
        <v>0</v>
      </c>
    </row>
    <row r="216" spans="1:24">
      <c r="A216" s="29" t="s">
        <v>500</v>
      </c>
    </row>
    <row r="217" spans="1:24">
      <c r="A217" s="261">
        <v>36287</v>
      </c>
    </row>
    <row r="218" spans="1:24">
      <c r="A218" s="254" t="s">
        <v>379</v>
      </c>
      <c r="B218" s="255">
        <v>49223.338212912655</v>
      </c>
      <c r="C218" s="256"/>
      <c r="D218" s="256"/>
      <c r="E218" s="256"/>
      <c r="F218" s="256"/>
      <c r="G218" s="256"/>
      <c r="H218" s="256"/>
      <c r="I218" s="256"/>
      <c r="J218" s="256"/>
      <c r="K218" s="256"/>
      <c r="L218" s="256"/>
      <c r="M218" s="256"/>
      <c r="N218" s="256"/>
      <c r="O218" s="256"/>
      <c r="P218" s="256"/>
      <c r="Q218" s="256"/>
      <c r="R218" s="256"/>
      <c r="S218" s="256"/>
      <c r="T218" s="256"/>
      <c r="U218" s="256"/>
      <c r="V218" s="256"/>
    </row>
    <row r="219" spans="1:24">
      <c r="A219" s="257" t="s">
        <v>380</v>
      </c>
      <c r="B219" s="258">
        <v>87918.708576061908</v>
      </c>
      <c r="C219" s="256"/>
      <c r="D219" s="256"/>
      <c r="E219" s="256"/>
      <c r="F219" s="256"/>
      <c r="G219" s="256"/>
      <c r="H219" s="256"/>
      <c r="I219" s="256"/>
      <c r="J219" s="256"/>
      <c r="K219" s="256"/>
      <c r="L219" s="256"/>
      <c r="M219" s="256"/>
      <c r="N219" s="256"/>
      <c r="O219" s="256"/>
      <c r="P219" s="256"/>
      <c r="Q219" s="256"/>
      <c r="R219" s="256"/>
      <c r="S219" s="256"/>
      <c r="T219" s="256"/>
      <c r="U219" s="256"/>
      <c r="V219" s="256"/>
    </row>
    <row r="220" spans="1:24">
      <c r="A220" s="259" t="s">
        <v>383</v>
      </c>
      <c r="B220" s="304" t="s">
        <v>483</v>
      </c>
      <c r="C220" s="304" t="s">
        <v>484</v>
      </c>
      <c r="D220" s="306">
        <v>2000</v>
      </c>
      <c r="E220" s="307">
        <v>2001</v>
      </c>
      <c r="F220" s="307">
        <v>2002</v>
      </c>
      <c r="G220" s="307">
        <v>2003</v>
      </c>
      <c r="H220" s="307">
        <v>2004</v>
      </c>
      <c r="I220" s="307">
        <v>2005</v>
      </c>
      <c r="J220" s="307">
        <v>2006</v>
      </c>
      <c r="K220" s="307">
        <v>2007</v>
      </c>
      <c r="L220" s="307">
        <v>2008</v>
      </c>
      <c r="M220" s="307">
        <v>2009</v>
      </c>
      <c r="N220" s="308">
        <v>2010</v>
      </c>
      <c r="O220" s="256">
        <v>2011</v>
      </c>
      <c r="P220" s="256">
        <v>2012</v>
      </c>
      <c r="Q220" s="256">
        <v>2013</v>
      </c>
      <c r="R220" s="256">
        <v>2014</v>
      </c>
      <c r="S220" s="256">
        <v>2015</v>
      </c>
      <c r="T220" s="256">
        <v>2016</v>
      </c>
      <c r="U220" s="256">
        <v>2017</v>
      </c>
      <c r="V220" s="256">
        <v>2018</v>
      </c>
      <c r="W220" s="256">
        <v>2019</v>
      </c>
      <c r="X220" s="256">
        <v>2020</v>
      </c>
    </row>
    <row r="221" spans="1:24">
      <c r="A221" s="259" t="s">
        <v>381</v>
      </c>
      <c r="B221" s="305">
        <f>NPV(0.1,D221:Y221)</f>
        <v>585799.63874261256</v>
      </c>
      <c r="C221" s="305">
        <f>B221-B211</f>
        <v>10408.020252182614</v>
      </c>
      <c r="D221" s="309">
        <v>33733.10847818233</v>
      </c>
      <c r="E221" s="310">
        <v>47172.831097600661</v>
      </c>
      <c r="F221" s="310">
        <v>47537.74838423467</v>
      </c>
      <c r="G221" s="310">
        <v>60167.544633014142</v>
      </c>
      <c r="H221" s="310">
        <v>70294.934745332066</v>
      </c>
      <c r="I221" s="310">
        <v>71707.126226903682</v>
      </c>
      <c r="J221" s="310">
        <v>72893.686157549979</v>
      </c>
      <c r="K221" s="310">
        <v>74213.497994278936</v>
      </c>
      <c r="L221" s="310">
        <v>75663.358987562446</v>
      </c>
      <c r="M221" s="310">
        <v>77248.504230597944</v>
      </c>
      <c r="N221" s="311">
        <v>79004.978728327231</v>
      </c>
      <c r="O221" s="31">
        <v>81134.63230091492</v>
      </c>
      <c r="P221" s="31">
        <v>83451.127951345057</v>
      </c>
      <c r="Q221" s="31">
        <v>85868.959545960301</v>
      </c>
      <c r="R221" s="31">
        <v>88379.733566480514</v>
      </c>
      <c r="S221" s="31">
        <v>90940.296269922954</v>
      </c>
      <c r="T221" s="31">
        <v>93124.048372770631</v>
      </c>
      <c r="U221" s="31">
        <v>95541.57116197898</v>
      </c>
      <c r="V221" s="31">
        <v>97637.627607546543</v>
      </c>
      <c r="W221" s="31">
        <v>99727.934078551392</v>
      </c>
      <c r="X221" s="31">
        <v>100944.54993391351</v>
      </c>
    </row>
    <row r="222" spans="1:24">
      <c r="A222" s="260" t="s">
        <v>382</v>
      </c>
      <c r="B222" s="305">
        <f>NPV(0.1,D222:Y222)</f>
        <v>265777.90487601911</v>
      </c>
      <c r="C222" s="305">
        <f>B222-B212</f>
        <v>6495.898460489203</v>
      </c>
      <c r="D222" s="309">
        <v>21143.844236162677</v>
      </c>
      <c r="E222" s="310">
        <v>26053.42443075078</v>
      </c>
      <c r="F222" s="310">
        <v>26542.212401384786</v>
      </c>
      <c r="G222" s="310">
        <v>26943.506476544509</v>
      </c>
      <c r="H222" s="310">
        <v>27434.115249382823</v>
      </c>
      <c r="I222" s="310">
        <v>27969.448400997888</v>
      </c>
      <c r="J222" s="310">
        <v>28654.521289889988</v>
      </c>
      <c r="K222" s="310">
        <v>29482.556413319639</v>
      </c>
      <c r="L222" s="310">
        <v>30451.384979803621</v>
      </c>
      <c r="M222" s="310">
        <v>31511.804268765034</v>
      </c>
      <c r="N222" s="311">
        <v>32812.052246906242</v>
      </c>
      <c r="O222" s="31">
        <v>34308.336008291473</v>
      </c>
      <c r="P222" s="31">
        <v>35995.418961034113</v>
      </c>
      <c r="Q222" s="31">
        <v>37733.077361111529</v>
      </c>
      <c r="R222" s="31">
        <v>39624.820176073365</v>
      </c>
      <c r="S222" s="31">
        <v>41572.867791381148</v>
      </c>
      <c r="T222" s="31">
        <v>43595.149937883049</v>
      </c>
      <c r="U222" s="31">
        <v>45830.755884780141</v>
      </c>
      <c r="V222" s="31">
        <v>47837.748756086592</v>
      </c>
      <c r="W222" s="31">
        <v>49878.673295351975</v>
      </c>
      <c r="X222" s="31">
        <v>51088.049917264398</v>
      </c>
    </row>
    <row r="223" spans="1:24">
      <c r="A223" s="260" t="s">
        <v>35</v>
      </c>
      <c r="B223" s="305">
        <f>NPV(0.1,D223:Y223)</f>
        <v>97760.112271903941</v>
      </c>
      <c r="C223" s="305">
        <f>B223-B213</f>
        <v>3394.5517049891641</v>
      </c>
      <c r="D223" s="309">
        <v>-452.94069964914621</v>
      </c>
      <c r="E223" s="310">
        <v>-240.19923265799511</v>
      </c>
      <c r="F223" s="310">
        <v>-259.29568487486159</v>
      </c>
      <c r="G223" s="310">
        <v>7133.5221796820133</v>
      </c>
      <c r="H223" s="310">
        <v>12973.721940705273</v>
      </c>
      <c r="I223" s="310">
        <v>13818.148252632396</v>
      </c>
      <c r="J223" s="310">
        <v>14440.061994530142</v>
      </c>
      <c r="K223" s="310">
        <v>14942.762887215004</v>
      </c>
      <c r="L223" s="310">
        <v>15538.493633674881</v>
      </c>
      <c r="M223" s="310">
        <v>16193.358546761499</v>
      </c>
      <c r="N223" s="311">
        <v>16843.104964023507</v>
      </c>
      <c r="O223" s="31">
        <v>17559.87806954193</v>
      </c>
      <c r="P223" s="31">
        <v>18396.030852759795</v>
      </c>
      <c r="Q223" s="31">
        <v>19310.398314487426</v>
      </c>
      <c r="R223" s="31">
        <v>20240.221230852021</v>
      </c>
      <c r="S223" s="31">
        <v>21134.087845526214</v>
      </c>
      <c r="T223" s="31">
        <v>21902.752012342615</v>
      </c>
      <c r="U223" s="31">
        <v>22739.359259394048</v>
      </c>
      <c r="V223" s="31">
        <v>23580.359208769423</v>
      </c>
      <c r="W223" s="31">
        <v>24171.399979727841</v>
      </c>
      <c r="X223" s="31">
        <v>25120.531065627652</v>
      </c>
    </row>
    <row r="224" spans="1:24">
      <c r="A224" s="260" t="s">
        <v>32</v>
      </c>
      <c r="B224" s="305">
        <f>NPV(0.1,D224:Y224)</f>
        <v>140079.34050953644</v>
      </c>
      <c r="C224" s="305">
        <f>B224-B214</f>
        <v>4073.6468817692366</v>
      </c>
      <c r="D224" s="312">
        <v>4395.7985832116774</v>
      </c>
      <c r="E224" s="313">
        <v>7859.6328827829484</v>
      </c>
      <c r="F224" s="313">
        <v>7382.1544694593522</v>
      </c>
      <c r="G224" s="313">
        <v>20278.530347221556</v>
      </c>
      <c r="H224" s="313">
        <v>26088.734994846469</v>
      </c>
      <c r="I224" s="313">
        <v>26588.304842069403</v>
      </c>
      <c r="J224" s="313">
        <v>19616.835998219296</v>
      </c>
      <c r="K224" s="313">
        <v>19468.655458960027</v>
      </c>
      <c r="L224" s="313">
        <v>19388.147371674026</v>
      </c>
      <c r="M224" s="313">
        <v>19258.643434196281</v>
      </c>
      <c r="N224" s="314">
        <v>19185.191841458924</v>
      </c>
      <c r="O224" s="31">
        <v>19009.058274722789</v>
      </c>
      <c r="P224" s="31">
        <v>18863.483126514446</v>
      </c>
      <c r="Q224" s="31">
        <v>18660.726724352669</v>
      </c>
      <c r="R224" s="31">
        <v>18505.033238124208</v>
      </c>
      <c r="S224" s="31">
        <v>15488.352620546159</v>
      </c>
      <c r="T224" s="31">
        <v>12429.298190214733</v>
      </c>
      <c r="U224" s="31">
        <v>11974.19940103617</v>
      </c>
      <c r="V224" s="31">
        <v>11572.790284116218</v>
      </c>
      <c r="W224" s="31">
        <v>17817.737067160888</v>
      </c>
      <c r="X224" s="31">
        <v>30146.005109740174</v>
      </c>
    </row>
    <row r="226" spans="1:24">
      <c r="A226" s="29" t="s">
        <v>505</v>
      </c>
    </row>
    <row r="227" spans="1:24">
      <c r="A227" s="261">
        <v>36257</v>
      </c>
    </row>
    <row r="228" spans="1:24">
      <c r="A228" s="254" t="s">
        <v>379</v>
      </c>
      <c r="B228" s="255">
        <v>49188.098459535533</v>
      </c>
      <c r="C228" s="256"/>
      <c r="D228" s="256"/>
      <c r="E228" s="256"/>
      <c r="F228" s="256"/>
      <c r="G228" s="256"/>
      <c r="H228" s="256"/>
      <c r="I228" s="256"/>
      <c r="J228" s="256"/>
      <c r="K228" s="256"/>
      <c r="L228" s="256"/>
      <c r="M228" s="256"/>
      <c r="N228" s="256"/>
      <c r="O228" s="256"/>
      <c r="P228" s="256"/>
      <c r="Q228" s="256"/>
      <c r="R228" s="256"/>
      <c r="S228" s="256"/>
      <c r="T228" s="256"/>
      <c r="U228" s="256"/>
      <c r="V228" s="256"/>
    </row>
    <row r="229" spans="1:24">
      <c r="A229" s="257" t="s">
        <v>380</v>
      </c>
      <c r="B229" s="258">
        <v>87918.708576061908</v>
      </c>
      <c r="C229" s="256"/>
      <c r="D229" s="256"/>
      <c r="E229" s="256"/>
      <c r="F229" s="256"/>
      <c r="G229" s="256"/>
      <c r="H229" s="256"/>
      <c r="I229" s="256"/>
      <c r="J229" s="256"/>
      <c r="K229" s="256"/>
      <c r="L229" s="256"/>
      <c r="M229" s="256"/>
      <c r="N229" s="256"/>
      <c r="O229" s="256"/>
      <c r="P229" s="256"/>
      <c r="Q229" s="256"/>
      <c r="R229" s="256"/>
      <c r="S229" s="256"/>
      <c r="T229" s="256"/>
      <c r="U229" s="256"/>
      <c r="V229" s="256"/>
    </row>
    <row r="230" spans="1:24">
      <c r="A230" s="259" t="s">
        <v>383</v>
      </c>
      <c r="B230" s="304" t="s">
        <v>483</v>
      </c>
      <c r="C230" s="304" t="s">
        <v>484</v>
      </c>
      <c r="D230" s="306">
        <v>2000</v>
      </c>
      <c r="E230" s="307">
        <v>2001</v>
      </c>
      <c r="F230" s="307">
        <v>2002</v>
      </c>
      <c r="G230" s="307">
        <v>2003</v>
      </c>
      <c r="H230" s="307">
        <v>2004</v>
      </c>
      <c r="I230" s="307">
        <v>2005</v>
      </c>
      <c r="J230" s="307">
        <v>2006</v>
      </c>
      <c r="K230" s="307">
        <v>2007</v>
      </c>
      <c r="L230" s="307">
        <v>2008</v>
      </c>
      <c r="M230" s="307">
        <v>2009</v>
      </c>
      <c r="N230" s="308">
        <v>2010</v>
      </c>
      <c r="O230" s="256">
        <v>2011</v>
      </c>
      <c r="P230" s="256">
        <v>2012</v>
      </c>
      <c r="Q230" s="256">
        <v>2013</v>
      </c>
      <c r="R230" s="256">
        <v>2014</v>
      </c>
      <c r="S230" s="256">
        <v>2015</v>
      </c>
      <c r="T230" s="256">
        <v>2016</v>
      </c>
      <c r="U230" s="256">
        <v>2017</v>
      </c>
      <c r="V230" s="256">
        <v>2018</v>
      </c>
      <c r="W230" s="256">
        <v>2019</v>
      </c>
      <c r="X230" s="256">
        <v>2020</v>
      </c>
    </row>
    <row r="231" spans="1:24">
      <c r="A231" s="259" t="s">
        <v>381</v>
      </c>
      <c r="B231" s="305">
        <f>NPV(0.1,D231:Y231)</f>
        <v>585799.63874261256</v>
      </c>
      <c r="C231" s="305">
        <f>B231-B221</f>
        <v>0</v>
      </c>
      <c r="D231" s="309">
        <v>33733.10847818233</v>
      </c>
      <c r="E231" s="310">
        <v>47172.831097600661</v>
      </c>
      <c r="F231" s="310">
        <v>47537.74838423467</v>
      </c>
      <c r="G231" s="310">
        <v>60167.544633014142</v>
      </c>
      <c r="H231" s="310">
        <v>70294.934745332066</v>
      </c>
      <c r="I231" s="310">
        <v>71707.126226903682</v>
      </c>
      <c r="J231" s="310">
        <v>72893.686157549979</v>
      </c>
      <c r="K231" s="310">
        <v>74213.497994278936</v>
      </c>
      <c r="L231" s="310">
        <v>75663.358987562446</v>
      </c>
      <c r="M231" s="310">
        <v>77248.504230597944</v>
      </c>
      <c r="N231" s="311">
        <v>79004.978728327231</v>
      </c>
      <c r="O231" s="31">
        <v>81134.63230091492</v>
      </c>
      <c r="P231" s="31">
        <v>83451.127951345057</v>
      </c>
      <c r="Q231" s="31">
        <v>85868.959545960301</v>
      </c>
      <c r="R231" s="31">
        <v>88379.733566480514</v>
      </c>
      <c r="S231" s="31">
        <v>90940.296269922954</v>
      </c>
      <c r="T231" s="31">
        <v>93124.048372770631</v>
      </c>
      <c r="U231" s="31">
        <v>95541.57116197898</v>
      </c>
      <c r="V231" s="31">
        <v>97637.627607546543</v>
      </c>
      <c r="W231" s="31">
        <v>99727.934078551392</v>
      </c>
      <c r="X231" s="31">
        <v>100944.54993391351</v>
      </c>
    </row>
    <row r="232" spans="1:24">
      <c r="A232" s="260" t="s">
        <v>382</v>
      </c>
      <c r="B232" s="305">
        <f>NPV(0.1,D232:Y232)</f>
        <v>265777.90487601911</v>
      </c>
      <c r="C232" s="305">
        <f>B232-B222</f>
        <v>0</v>
      </c>
      <c r="D232" s="309">
        <v>21143.844236162677</v>
      </c>
      <c r="E232" s="310">
        <v>26053.42443075078</v>
      </c>
      <c r="F232" s="310">
        <v>26542.212401384786</v>
      </c>
      <c r="G232" s="310">
        <v>26943.506476544509</v>
      </c>
      <c r="H232" s="310">
        <v>27434.115249382823</v>
      </c>
      <c r="I232" s="310">
        <v>27969.448400997888</v>
      </c>
      <c r="J232" s="310">
        <v>28654.521289889988</v>
      </c>
      <c r="K232" s="310">
        <v>29482.556413319639</v>
      </c>
      <c r="L232" s="310">
        <v>30451.384979803621</v>
      </c>
      <c r="M232" s="310">
        <v>31511.804268765034</v>
      </c>
      <c r="N232" s="311">
        <v>32812.052246906242</v>
      </c>
      <c r="O232" s="31">
        <v>34308.336008291473</v>
      </c>
      <c r="P232" s="31">
        <v>35995.418961034113</v>
      </c>
      <c r="Q232" s="31">
        <v>37733.077361111529</v>
      </c>
      <c r="R232" s="31">
        <v>39624.820176073365</v>
      </c>
      <c r="S232" s="31">
        <v>41572.867791381148</v>
      </c>
      <c r="T232" s="31">
        <v>43595.149937883049</v>
      </c>
      <c r="U232" s="31">
        <v>45830.755884780141</v>
      </c>
      <c r="V232" s="31">
        <v>47837.748756086592</v>
      </c>
      <c r="W232" s="31">
        <v>49878.673295351975</v>
      </c>
      <c r="X232" s="31">
        <v>51088.049917264398</v>
      </c>
    </row>
    <row r="233" spans="1:24">
      <c r="A233" s="260" t="s">
        <v>35</v>
      </c>
      <c r="B233" s="305">
        <f>NPV(0.1,D233:Y233)</f>
        <v>104942.83785038837</v>
      </c>
      <c r="C233" s="305">
        <f>B233-B223</f>
        <v>7182.725578484431</v>
      </c>
      <c r="D233" s="309">
        <v>477.18765394512644</v>
      </c>
      <c r="E233" s="310">
        <v>578.59651636075819</v>
      </c>
      <c r="F233" s="310">
        <v>559.50006414389168</v>
      </c>
      <c r="G233" s="310">
        <v>7952.3179287007679</v>
      </c>
      <c r="H233" s="310">
        <v>13792.517689724027</v>
      </c>
      <c r="I233" s="310">
        <v>14636.944001651151</v>
      </c>
      <c r="J233" s="310">
        <v>15258.857743548897</v>
      </c>
      <c r="K233" s="310">
        <v>15761.558636233758</v>
      </c>
      <c r="L233" s="310">
        <v>16357.289382693634</v>
      </c>
      <c r="M233" s="310">
        <v>17012.154295780252</v>
      </c>
      <c r="N233" s="311">
        <v>17661.900713042261</v>
      </c>
      <c r="O233" s="31">
        <v>18378.673818560685</v>
      </c>
      <c r="P233" s="31">
        <v>19214.82660177855</v>
      </c>
      <c r="Q233" s="31">
        <v>20129.194063506184</v>
      </c>
      <c r="R233" s="31">
        <v>21059.016979870776</v>
      </c>
      <c r="S233" s="31">
        <v>21952.883594544968</v>
      </c>
      <c r="T233" s="31">
        <v>22721.547761361369</v>
      </c>
      <c r="U233" s="31">
        <v>23558.155008412803</v>
      </c>
      <c r="V233" s="31">
        <v>24399.154957788178</v>
      </c>
      <c r="W233" s="31">
        <v>24990.195728746596</v>
      </c>
      <c r="X233" s="31">
        <v>25939.326814646407</v>
      </c>
    </row>
    <row r="234" spans="1:24">
      <c r="A234" s="260" t="s">
        <v>32</v>
      </c>
      <c r="B234" s="305">
        <f>NPV(0.1,D234:Y234)</f>
        <v>140046.12683290907</v>
      </c>
      <c r="C234" s="305">
        <f>B234-B224</f>
        <v>-33.213676627376117</v>
      </c>
      <c r="D234" s="312">
        <v>4395.7985832116774</v>
      </c>
      <c r="E234" s="313">
        <v>7859.6328827829484</v>
      </c>
      <c r="F234" s="313">
        <v>7382.1544694593522</v>
      </c>
      <c r="G234" s="313">
        <v>20278.530347221564</v>
      </c>
      <c r="H234" s="313">
        <v>26088.734994846469</v>
      </c>
      <c r="I234" s="313">
        <v>26459.756957366742</v>
      </c>
      <c r="J234" s="313">
        <v>19596.067378171952</v>
      </c>
      <c r="K234" s="313">
        <v>19486.237856710031</v>
      </c>
      <c r="L234" s="313">
        <v>19405.700019174026</v>
      </c>
      <c r="M234" s="313">
        <v>19276.225831946285</v>
      </c>
      <c r="N234" s="314">
        <v>19202.744488958924</v>
      </c>
      <c r="O234" s="31">
        <v>19026.640672472786</v>
      </c>
      <c r="P234" s="31">
        <v>18881.035774014446</v>
      </c>
      <c r="Q234" s="31">
        <v>18678.309122102677</v>
      </c>
      <c r="R234" s="31">
        <v>18522.585885624208</v>
      </c>
      <c r="S234" s="31">
        <v>15497.128944296159</v>
      </c>
      <c r="T234" s="31">
        <v>12429.298190214733</v>
      </c>
      <c r="U234" s="31">
        <v>11974.19940103617</v>
      </c>
      <c r="V234" s="31">
        <v>11572.790284116218</v>
      </c>
      <c r="W234" s="31">
        <v>17817.737067160888</v>
      </c>
      <c r="X234" s="31">
        <v>30146.005109740174</v>
      </c>
    </row>
    <row r="236" spans="1:24">
      <c r="A236" s="29" t="s">
        <v>506</v>
      </c>
    </row>
    <row r="237" spans="1:24">
      <c r="A237" s="261">
        <v>36257</v>
      </c>
    </row>
    <row r="238" spans="1:24">
      <c r="A238" s="254" t="s">
        <v>379</v>
      </c>
      <c r="B238" s="255">
        <v>47432.421774812181</v>
      </c>
      <c r="C238" s="256"/>
      <c r="D238" s="256"/>
      <c r="E238" s="256"/>
      <c r="F238" s="256"/>
      <c r="G238" s="256"/>
      <c r="H238" s="256"/>
      <c r="I238" s="256"/>
      <c r="J238" s="256"/>
      <c r="K238" s="256"/>
      <c r="L238" s="256"/>
      <c r="M238" s="256"/>
      <c r="N238" s="256"/>
      <c r="O238" s="256"/>
      <c r="P238" s="256"/>
      <c r="Q238" s="256"/>
      <c r="R238" s="256"/>
      <c r="S238" s="256"/>
      <c r="T238" s="256"/>
      <c r="U238" s="256"/>
      <c r="V238" s="256"/>
    </row>
    <row r="239" spans="1:24">
      <c r="A239" s="257" t="s">
        <v>380</v>
      </c>
      <c r="B239" s="258">
        <v>85640.573779312821</v>
      </c>
      <c r="C239" s="256"/>
      <c r="D239" s="256"/>
      <c r="E239" s="256"/>
      <c r="F239" s="256"/>
      <c r="G239" s="256"/>
      <c r="H239" s="256"/>
      <c r="I239" s="256"/>
      <c r="J239" s="256"/>
      <c r="K239" s="256"/>
      <c r="L239" s="256"/>
      <c r="M239" s="256"/>
      <c r="N239" s="256"/>
      <c r="O239" s="256"/>
      <c r="P239" s="256"/>
      <c r="Q239" s="256"/>
      <c r="R239" s="256"/>
      <c r="S239" s="256"/>
      <c r="T239" s="256"/>
      <c r="U239" s="256"/>
      <c r="V239" s="256"/>
    </row>
    <row r="240" spans="1:24">
      <c r="A240" s="259" t="s">
        <v>383</v>
      </c>
      <c r="B240" s="304" t="s">
        <v>483</v>
      </c>
      <c r="C240" s="304" t="s">
        <v>484</v>
      </c>
      <c r="D240" s="306">
        <v>2000</v>
      </c>
      <c r="E240" s="307">
        <v>2001</v>
      </c>
      <c r="F240" s="307">
        <v>2002</v>
      </c>
      <c r="G240" s="307">
        <v>2003</v>
      </c>
      <c r="H240" s="307">
        <v>2004</v>
      </c>
      <c r="I240" s="307">
        <v>2005</v>
      </c>
      <c r="J240" s="307">
        <v>2006</v>
      </c>
      <c r="K240" s="307">
        <v>2007</v>
      </c>
      <c r="L240" s="307">
        <v>2008</v>
      </c>
      <c r="M240" s="307">
        <v>2009</v>
      </c>
      <c r="N240" s="308">
        <v>2010</v>
      </c>
      <c r="O240" s="256">
        <v>2011</v>
      </c>
      <c r="P240" s="256">
        <v>2012</v>
      </c>
      <c r="Q240" s="256">
        <v>2013</v>
      </c>
      <c r="R240" s="256">
        <v>2014</v>
      </c>
      <c r="S240" s="256">
        <v>2015</v>
      </c>
      <c r="T240" s="256">
        <v>2016</v>
      </c>
      <c r="U240" s="256">
        <v>2017</v>
      </c>
      <c r="V240" s="256">
        <v>2018</v>
      </c>
      <c r="W240" s="256">
        <v>2019</v>
      </c>
      <c r="X240" s="256">
        <v>2020</v>
      </c>
    </row>
    <row r="241" spans="1:24">
      <c r="A241" s="259" t="s">
        <v>381</v>
      </c>
      <c r="B241" s="305">
        <f>NPV(0.1,D241:Y241)</f>
        <v>585799.63874261256</v>
      </c>
      <c r="C241" s="305">
        <f>B241-B231</f>
        <v>0</v>
      </c>
      <c r="D241" s="309">
        <v>33733.10847818233</v>
      </c>
      <c r="E241" s="310">
        <v>47172.831097600661</v>
      </c>
      <c r="F241" s="310">
        <v>47537.74838423467</v>
      </c>
      <c r="G241" s="310">
        <v>60167.544633014142</v>
      </c>
      <c r="H241" s="310">
        <v>70294.934745332066</v>
      </c>
      <c r="I241" s="310">
        <v>71707.126226903682</v>
      </c>
      <c r="J241" s="310">
        <v>72893.686157549979</v>
      </c>
      <c r="K241" s="310">
        <v>74213.497994278936</v>
      </c>
      <c r="L241" s="310">
        <v>75663.358987562446</v>
      </c>
      <c r="M241" s="310">
        <v>77248.504230597944</v>
      </c>
      <c r="N241" s="311">
        <v>79004.978728327231</v>
      </c>
      <c r="O241" s="31">
        <v>81134.63230091492</v>
      </c>
      <c r="P241" s="31">
        <v>83451.127951345057</v>
      </c>
      <c r="Q241" s="31">
        <v>85868.959545960301</v>
      </c>
      <c r="R241" s="31">
        <v>88379.733566480514</v>
      </c>
      <c r="S241" s="31">
        <v>90940.296269922954</v>
      </c>
      <c r="T241" s="31">
        <v>93124.048372770631</v>
      </c>
      <c r="U241" s="31">
        <v>95541.57116197898</v>
      </c>
      <c r="V241" s="31">
        <v>97637.627607546543</v>
      </c>
      <c r="W241" s="31">
        <v>99727.934078551392</v>
      </c>
      <c r="X241" s="31">
        <v>100944.54993391351</v>
      </c>
    </row>
    <row r="242" spans="1:24">
      <c r="A242" s="260" t="s">
        <v>382</v>
      </c>
      <c r="B242" s="305">
        <f>NPV(0.1,D242:Y242)</f>
        <v>268045.67149731593</v>
      </c>
      <c r="C242" s="305">
        <f>B242-B232</f>
        <v>2267.7666212968179</v>
      </c>
      <c r="D242" s="309">
        <v>21273.203636791095</v>
      </c>
      <c r="E242" s="310">
        <v>26279.95866400325</v>
      </c>
      <c r="F242" s="310">
        <v>26775.508495536913</v>
      </c>
      <c r="G242" s="310">
        <v>27183.767287423281</v>
      </c>
      <c r="H242" s="310">
        <v>27681.549718490038</v>
      </c>
      <c r="I242" s="310">
        <v>28224.271738080399</v>
      </c>
      <c r="J242" s="310">
        <v>28916.955160987054</v>
      </c>
      <c r="K242" s="310">
        <v>29752.829134451691</v>
      </c>
      <c r="L242" s="310">
        <v>30729.731716471721</v>
      </c>
      <c r="M242" s="310">
        <v>31798.467241435254</v>
      </c>
      <c r="N242" s="311">
        <v>33107.280942658646</v>
      </c>
      <c r="O242" s="31">
        <v>34612.38739881853</v>
      </c>
      <c r="P242" s="31">
        <v>36308.557727179053</v>
      </c>
      <c r="Q242" s="31">
        <v>38055.576124142899</v>
      </c>
      <c r="R242" s="31">
        <v>39956.959735897763</v>
      </c>
      <c r="S242" s="31">
        <v>41914.937371902357</v>
      </c>
      <c r="T242" s="31">
        <v>43947.447439721967</v>
      </c>
      <c r="U242" s="31">
        <v>46193.588145576316</v>
      </c>
      <c r="V242" s="31">
        <v>48211.431818608733</v>
      </c>
      <c r="W242" s="31">
        <v>50263.532683651858</v>
      </c>
      <c r="X242" s="31">
        <v>51484.42092111535</v>
      </c>
    </row>
    <row r="243" spans="1:24">
      <c r="A243" s="260" t="s">
        <v>35</v>
      </c>
      <c r="B243" s="305">
        <f>NPV(0.1,D243:Y243)</f>
        <v>103929.79395639351</v>
      </c>
      <c r="C243" s="305">
        <f>B243-B233</f>
        <v>-1013.0438939948654</v>
      </c>
      <c r="D243" s="309">
        <v>432.00316965563485</v>
      </c>
      <c r="E243" s="310">
        <v>496.86342635525466</v>
      </c>
      <c r="F243" s="310">
        <v>471.04267891922945</v>
      </c>
      <c r="G243" s="310">
        <v>7856.5981169043935</v>
      </c>
      <c r="H243" s="310">
        <v>13691.934134285031</v>
      </c>
      <c r="I243" s="310">
        <v>14531.185508576071</v>
      </c>
      <c r="J243" s="310">
        <v>15147.590560489722</v>
      </c>
      <c r="K243" s="310">
        <v>15644.424717934529</v>
      </c>
      <c r="L243" s="310">
        <v>16233.90451977619</v>
      </c>
      <c r="M243" s="310">
        <v>16882.106095999417</v>
      </c>
      <c r="N243" s="311">
        <v>17524.746423272976</v>
      </c>
      <c r="O243" s="31">
        <v>18233.937974842607</v>
      </c>
      <c r="P243" s="31">
        <v>19061.998493731662</v>
      </c>
      <c r="Q243" s="31">
        <v>19967.724998338152</v>
      </c>
      <c r="R243" s="31">
        <v>20888.317330016493</v>
      </c>
      <c r="S243" s="31">
        <v>21772.319611704261</v>
      </c>
      <c r="T243" s="31">
        <v>22530.438138324287</v>
      </c>
      <c r="U243" s="31">
        <v>23355.767168575461</v>
      </c>
      <c r="V243" s="31">
        <v>24184.701050656757</v>
      </c>
      <c r="W243" s="31">
        <v>24764.878431477486</v>
      </c>
      <c r="X243" s="31">
        <v>25700.18429689301</v>
      </c>
    </row>
    <row r="244" spans="1:24">
      <c r="A244" s="260" t="s">
        <v>32</v>
      </c>
      <c r="B244" s="305">
        <f>NPV(0.1,D244:Y244)</f>
        <v>139362.5148840374</v>
      </c>
      <c r="C244" s="305">
        <f>B244-B234</f>
        <v>-683.61194887166494</v>
      </c>
      <c r="D244" s="312">
        <v>4350.6966084612486</v>
      </c>
      <c r="E244" s="313">
        <v>7780.7234582000028</v>
      </c>
      <c r="F244" s="313">
        <v>7300.9910912431906</v>
      </c>
      <c r="G244" s="313">
        <v>20130.975847195514</v>
      </c>
      <c r="H244" s="313">
        <v>25936.876299883348</v>
      </c>
      <c r="I244" s="313">
        <v>26432.012826321108</v>
      </c>
      <c r="J244" s="313">
        <v>19720.013745159864</v>
      </c>
      <c r="K244" s="313">
        <v>19397.687980826478</v>
      </c>
      <c r="L244" s="313">
        <v>19316.415528279922</v>
      </c>
      <c r="M244" s="313">
        <v>19186.332528351504</v>
      </c>
      <c r="N244" s="314">
        <v>19112.383776303446</v>
      </c>
      <c r="O244" s="31">
        <v>18935.970969947499</v>
      </c>
      <c r="P244" s="31">
        <v>18790.234048702921</v>
      </c>
      <c r="Q244" s="31">
        <v>18587.572549043394</v>
      </c>
      <c r="R244" s="31">
        <v>18432.13364596459</v>
      </c>
      <c r="S244" s="31">
        <v>15407.204172744416</v>
      </c>
      <c r="T244" s="31">
        <v>12340.170083896806</v>
      </c>
      <c r="U244" s="31">
        <v>11886.165502838427</v>
      </c>
      <c r="V244" s="31">
        <v>11486.178954645955</v>
      </c>
      <c r="W244" s="31">
        <v>17659.448872992769</v>
      </c>
      <c r="X244" s="31">
        <v>29906.862591986777</v>
      </c>
    </row>
    <row r="246" spans="1:24">
      <c r="A246" s="29" t="s">
        <v>507</v>
      </c>
    </row>
    <row r="247" spans="1:24">
      <c r="A247" s="261">
        <v>36257</v>
      </c>
    </row>
    <row r="248" spans="1:24">
      <c r="A248" s="254" t="s">
        <v>379</v>
      </c>
      <c r="B248" s="255">
        <v>47861.353353460814</v>
      </c>
      <c r="C248" s="256"/>
      <c r="D248" s="256"/>
      <c r="E248" s="256"/>
      <c r="F248" s="256"/>
      <c r="G248" s="256"/>
      <c r="H248" s="256"/>
      <c r="I248" s="256"/>
      <c r="J248" s="256"/>
      <c r="K248" s="256"/>
      <c r="L248" s="256"/>
      <c r="M248" s="256"/>
      <c r="N248" s="256"/>
      <c r="O248" s="256"/>
      <c r="P248" s="256"/>
      <c r="Q248" s="256"/>
      <c r="R248" s="256"/>
      <c r="S248" s="256"/>
      <c r="T248" s="256"/>
      <c r="U248" s="256"/>
      <c r="V248" s="256"/>
    </row>
    <row r="249" spans="1:24">
      <c r="A249" s="257" t="s">
        <v>380</v>
      </c>
      <c r="B249" s="258">
        <v>86380.284692536385</v>
      </c>
      <c r="C249" s="256"/>
      <c r="D249" s="256"/>
      <c r="E249" s="256"/>
      <c r="F249" s="256"/>
      <c r="G249" s="256"/>
      <c r="H249" s="256"/>
      <c r="I249" s="256"/>
      <c r="J249" s="256"/>
      <c r="K249" s="256"/>
      <c r="L249" s="256"/>
      <c r="M249" s="256"/>
      <c r="N249" s="256"/>
      <c r="O249" s="256"/>
      <c r="P249" s="256"/>
      <c r="Q249" s="256"/>
      <c r="R249" s="256"/>
      <c r="S249" s="256"/>
      <c r="T249" s="256"/>
      <c r="U249" s="256"/>
      <c r="V249" s="256"/>
    </row>
    <row r="250" spans="1:24">
      <c r="A250" s="259" t="s">
        <v>383</v>
      </c>
      <c r="B250" s="304" t="s">
        <v>483</v>
      </c>
      <c r="C250" s="304" t="s">
        <v>484</v>
      </c>
      <c r="D250" s="306">
        <v>2000</v>
      </c>
      <c r="E250" s="307">
        <v>2001</v>
      </c>
      <c r="F250" s="307">
        <v>2002</v>
      </c>
      <c r="G250" s="307">
        <v>2003</v>
      </c>
      <c r="H250" s="307">
        <v>2004</v>
      </c>
      <c r="I250" s="307">
        <v>2005</v>
      </c>
      <c r="J250" s="307">
        <v>2006</v>
      </c>
      <c r="K250" s="307">
        <v>2007</v>
      </c>
      <c r="L250" s="307">
        <v>2008</v>
      </c>
      <c r="M250" s="307">
        <v>2009</v>
      </c>
      <c r="N250" s="308">
        <v>2010</v>
      </c>
      <c r="O250" s="256">
        <v>2011</v>
      </c>
      <c r="P250" s="256">
        <v>2012</v>
      </c>
      <c r="Q250" s="256">
        <v>2013</v>
      </c>
      <c r="R250" s="256">
        <v>2014</v>
      </c>
      <c r="S250" s="256">
        <v>2015</v>
      </c>
      <c r="T250" s="256">
        <v>2016</v>
      </c>
      <c r="U250" s="256">
        <v>2017</v>
      </c>
      <c r="V250" s="256">
        <v>2018</v>
      </c>
      <c r="W250" s="256">
        <v>2019</v>
      </c>
      <c r="X250" s="256">
        <v>2020</v>
      </c>
    </row>
    <row r="251" spans="1:24">
      <c r="A251" s="259" t="s">
        <v>381</v>
      </c>
      <c r="B251" s="305">
        <f>NPV(0.1,D251:Y251)</f>
        <v>585799.63874261256</v>
      </c>
      <c r="C251" s="305">
        <f>B251-B241</f>
        <v>0</v>
      </c>
      <c r="D251" s="309">
        <v>33733.10847818233</v>
      </c>
      <c r="E251" s="310">
        <v>47172.831097600661</v>
      </c>
      <c r="F251" s="310">
        <v>47537.74838423467</v>
      </c>
      <c r="G251" s="310">
        <v>60167.544633014142</v>
      </c>
      <c r="H251" s="310">
        <v>70294.934745332066</v>
      </c>
      <c r="I251" s="310">
        <v>71707.126226903682</v>
      </c>
      <c r="J251" s="310">
        <v>72893.686157549979</v>
      </c>
      <c r="K251" s="310">
        <v>74213.497994278936</v>
      </c>
      <c r="L251" s="310">
        <v>75663.358987562446</v>
      </c>
      <c r="M251" s="310">
        <v>77248.504230597944</v>
      </c>
      <c r="N251" s="311">
        <v>79004.978728327231</v>
      </c>
      <c r="O251" s="31">
        <v>81134.63230091492</v>
      </c>
      <c r="P251" s="31">
        <v>83451.127951345057</v>
      </c>
      <c r="Q251" s="31">
        <v>85868.959545960301</v>
      </c>
      <c r="R251" s="31">
        <v>88379.733566480514</v>
      </c>
      <c r="S251" s="31">
        <v>90940.296269922954</v>
      </c>
      <c r="T251" s="31">
        <v>93124.048372770631</v>
      </c>
      <c r="U251" s="31">
        <v>95541.57116197898</v>
      </c>
      <c r="V251" s="31">
        <v>97637.627607546543</v>
      </c>
      <c r="W251" s="31">
        <v>99727.934078551392</v>
      </c>
      <c r="X251" s="31">
        <v>100944.54993391351</v>
      </c>
    </row>
    <row r="252" spans="1:24">
      <c r="A252" s="260" t="s">
        <v>382</v>
      </c>
      <c r="B252" s="305">
        <f>NPV(0.1,D252:Y252)</f>
        <v>268045.67149731593</v>
      </c>
      <c r="C252" s="305">
        <f>B252-B242</f>
        <v>0</v>
      </c>
      <c r="D252" s="309">
        <v>21273.203636791095</v>
      </c>
      <c r="E252" s="310">
        <v>26279.95866400325</v>
      </c>
      <c r="F252" s="310">
        <v>26775.508495536913</v>
      </c>
      <c r="G252" s="310">
        <v>27183.767287423281</v>
      </c>
      <c r="H252" s="310">
        <v>27681.549718490038</v>
      </c>
      <c r="I252" s="310">
        <v>28224.271738080399</v>
      </c>
      <c r="J252" s="310">
        <v>28916.955160987054</v>
      </c>
      <c r="K252" s="310">
        <v>29752.829134451691</v>
      </c>
      <c r="L252" s="310">
        <v>30729.731716471721</v>
      </c>
      <c r="M252" s="310">
        <v>31798.467241435254</v>
      </c>
      <c r="N252" s="311">
        <v>33107.280942658646</v>
      </c>
      <c r="O252" s="31">
        <v>34612.38739881853</v>
      </c>
      <c r="P252" s="31">
        <v>36308.557727179053</v>
      </c>
      <c r="Q252" s="31">
        <v>38055.576124142899</v>
      </c>
      <c r="R252" s="31">
        <v>39956.959735897763</v>
      </c>
      <c r="S252" s="31">
        <v>41914.937371902357</v>
      </c>
      <c r="T252" s="31">
        <v>43947.447439721967</v>
      </c>
      <c r="U252" s="31">
        <v>46193.588145576316</v>
      </c>
      <c r="V252" s="31">
        <v>48211.431818608733</v>
      </c>
      <c r="W252" s="31">
        <v>50263.532683651858</v>
      </c>
      <c r="X252" s="31">
        <v>51484.42092111535</v>
      </c>
    </row>
    <row r="253" spans="1:24">
      <c r="A253" s="260" t="s">
        <v>35</v>
      </c>
      <c r="B253" s="305">
        <f>NPV(0.1,D253:Y253)</f>
        <v>104475.95331931501</v>
      </c>
      <c r="C253" s="305">
        <f>B253-B243</f>
        <v>546.15936292150582</v>
      </c>
      <c r="D253" s="309">
        <v>406.87677737435922</v>
      </c>
      <c r="E253" s="310">
        <v>441.01749723118979</v>
      </c>
      <c r="F253" s="310">
        <v>398.21081525608383</v>
      </c>
      <c r="G253" s="310">
        <v>7899.7891703890691</v>
      </c>
      <c r="H253" s="310">
        <v>13790.772879076227</v>
      </c>
      <c r="I253" s="310">
        <v>14619.097011314205</v>
      </c>
      <c r="J253" s="310">
        <v>15221.217706320738</v>
      </c>
      <c r="K253" s="310">
        <v>15772.101700869542</v>
      </c>
      <c r="L253" s="310">
        <v>16346.042641975764</v>
      </c>
      <c r="M253" s="310">
        <v>16978.45987885385</v>
      </c>
      <c r="N253" s="311">
        <v>17604.207020963106</v>
      </c>
      <c r="O253" s="31">
        <v>18374.834495902629</v>
      </c>
      <c r="P253" s="31">
        <v>19186.069601881347</v>
      </c>
      <c r="Q253" s="31">
        <v>20074.706343986152</v>
      </c>
      <c r="R253" s="31">
        <v>20977.081222000081</v>
      </c>
      <c r="S253" s="31">
        <v>21929.473388089013</v>
      </c>
      <c r="T253" s="31">
        <v>22664.52995103634</v>
      </c>
      <c r="U253" s="31">
        <v>23466.222829075214</v>
      </c>
      <c r="V253" s="31">
        <v>24270.070051392009</v>
      </c>
      <c r="W253" s="31">
        <v>25111.473591147169</v>
      </c>
      <c r="X253" s="31">
        <v>26019.507025163897</v>
      </c>
    </row>
    <row r="254" spans="1:24">
      <c r="A254" s="260" t="s">
        <v>32</v>
      </c>
      <c r="B254" s="305">
        <f>NPV(0.1,D254:Y254)</f>
        <v>139894.01865686523</v>
      </c>
      <c r="C254" s="305">
        <f>B254-B244</f>
        <v>531.50377282782574</v>
      </c>
      <c r="D254" s="312">
        <v>4309.0504243144696</v>
      </c>
      <c r="E254" s="313">
        <v>7688.1606333378813</v>
      </c>
      <c r="F254" s="313">
        <v>7180.2746281746431</v>
      </c>
      <c r="G254" s="313">
        <v>20202.563624174407</v>
      </c>
      <c r="H254" s="313">
        <v>26100.698328940744</v>
      </c>
      <c r="I254" s="313">
        <v>26577.723304398009</v>
      </c>
      <c r="J254" s="313">
        <v>19743.583194900668</v>
      </c>
      <c r="K254" s="313">
        <v>19525.364963761491</v>
      </c>
      <c r="L254" s="313">
        <v>19428.553650479498</v>
      </c>
      <c r="M254" s="313">
        <v>19282.686311205929</v>
      </c>
      <c r="N254" s="314">
        <v>19191.844373993579</v>
      </c>
      <c r="O254" s="31">
        <v>19076.867491007521</v>
      </c>
      <c r="P254" s="31">
        <v>18914.305156852606</v>
      </c>
      <c r="Q254" s="31">
        <v>18694.553894691402</v>
      </c>
      <c r="R254" s="31">
        <v>18520.897537948189</v>
      </c>
      <c r="S254" s="31">
        <v>15564.35794912916</v>
      </c>
      <c r="T254" s="31">
        <v>12474.261896608859</v>
      </c>
      <c r="U254" s="31">
        <v>11996.621163338179</v>
      </c>
      <c r="V254" s="31">
        <v>11571.547955381211</v>
      </c>
      <c r="W254" s="31">
        <v>18006.044032662452</v>
      </c>
      <c r="X254" s="31">
        <v>30226.18532025766</v>
      </c>
    </row>
    <row r="256" spans="1:24">
      <c r="A256" s="29" t="s">
        <v>508</v>
      </c>
    </row>
    <row r="257" spans="1:24">
      <c r="A257" s="261">
        <v>36257</v>
      </c>
    </row>
    <row r="258" spans="1:24">
      <c r="A258" s="254" t="s">
        <v>379</v>
      </c>
      <c r="B258" s="255">
        <v>42069.674082553815</v>
      </c>
      <c r="C258" s="256"/>
      <c r="D258" s="256"/>
      <c r="E258" s="256"/>
      <c r="F258" s="256"/>
      <c r="G258" s="256"/>
      <c r="H258" s="256"/>
      <c r="I258" s="256"/>
      <c r="J258" s="256"/>
      <c r="K258" s="256"/>
      <c r="L258" s="256"/>
      <c r="M258" s="256"/>
      <c r="N258" s="256"/>
      <c r="O258" s="256"/>
      <c r="P258" s="256"/>
      <c r="Q258" s="256"/>
      <c r="R258" s="256"/>
      <c r="S258" s="256"/>
      <c r="T258" s="256"/>
      <c r="U258" s="256"/>
      <c r="V258" s="256"/>
    </row>
    <row r="259" spans="1:24">
      <c r="A259" s="257" t="s">
        <v>380</v>
      </c>
      <c r="B259" s="258">
        <v>78869.611197049802</v>
      </c>
      <c r="C259" s="256"/>
      <c r="D259" s="256"/>
      <c r="E259" s="256"/>
      <c r="F259" s="256"/>
      <c r="G259" s="256"/>
      <c r="H259" s="256"/>
      <c r="I259" s="256"/>
      <c r="J259" s="256"/>
      <c r="K259" s="256"/>
      <c r="L259" s="256"/>
      <c r="M259" s="256"/>
      <c r="N259" s="256"/>
      <c r="O259" s="256"/>
      <c r="P259" s="256"/>
      <c r="Q259" s="256"/>
      <c r="R259" s="256"/>
      <c r="S259" s="256"/>
      <c r="T259" s="256"/>
      <c r="U259" s="256"/>
      <c r="V259" s="256"/>
    </row>
    <row r="260" spans="1:24">
      <c r="A260" s="259" t="s">
        <v>383</v>
      </c>
      <c r="B260" s="304" t="s">
        <v>483</v>
      </c>
      <c r="C260" s="304" t="s">
        <v>484</v>
      </c>
      <c r="D260" s="306">
        <v>2000</v>
      </c>
      <c r="E260" s="307">
        <v>2001</v>
      </c>
      <c r="F260" s="307">
        <v>2002</v>
      </c>
      <c r="G260" s="307">
        <v>2003</v>
      </c>
      <c r="H260" s="307">
        <v>2004</v>
      </c>
      <c r="I260" s="307">
        <v>2005</v>
      </c>
      <c r="J260" s="307">
        <v>2006</v>
      </c>
      <c r="K260" s="307">
        <v>2007</v>
      </c>
      <c r="L260" s="307">
        <v>2008</v>
      </c>
      <c r="M260" s="307">
        <v>2009</v>
      </c>
      <c r="N260" s="308">
        <v>2010</v>
      </c>
      <c r="O260" s="256">
        <v>2011</v>
      </c>
      <c r="P260" s="256">
        <v>2012</v>
      </c>
      <c r="Q260" s="256">
        <v>2013</v>
      </c>
      <c r="R260" s="256">
        <v>2014</v>
      </c>
      <c r="S260" s="256">
        <v>2015</v>
      </c>
      <c r="T260" s="256">
        <v>2016</v>
      </c>
      <c r="U260" s="256">
        <v>2017</v>
      </c>
      <c r="V260" s="256">
        <v>2018</v>
      </c>
      <c r="W260" s="256">
        <v>2019</v>
      </c>
      <c r="X260" s="256">
        <v>2020</v>
      </c>
    </row>
    <row r="261" spans="1:24">
      <c r="A261" s="259" t="s">
        <v>381</v>
      </c>
      <c r="B261" s="305">
        <f>NPV(0.1,D261:Y261)</f>
        <v>574070.42605680763</v>
      </c>
      <c r="C261" s="305">
        <f>B261-B251</f>
        <v>-11729.212685804931</v>
      </c>
      <c r="D261" s="309">
        <v>33064.169956576079</v>
      </c>
      <c r="E261" s="310">
        <v>46231.452773463163</v>
      </c>
      <c r="F261" s="310">
        <v>46589.427954084669</v>
      </c>
      <c r="G261" s="310">
        <v>58962.574105492065</v>
      </c>
      <c r="H261" s="310">
        <v>68884.296031482867</v>
      </c>
      <c r="I261" s="310">
        <v>70268.286744311481</v>
      </c>
      <c r="J261" s="310">
        <v>71431.278645517814</v>
      </c>
      <c r="K261" s="310">
        <v>72724.863793796118</v>
      </c>
      <c r="L261" s="310">
        <v>74145.90434171111</v>
      </c>
      <c r="M261" s="310">
        <v>75699.531044841686</v>
      </c>
      <c r="N261" s="311">
        <v>77421.066540550601</v>
      </c>
      <c r="O261" s="31">
        <v>79508.255202220258</v>
      </c>
      <c r="P261" s="31">
        <v>81778.552367297802</v>
      </c>
      <c r="Q261" s="31">
        <v>84148.167825394601</v>
      </c>
      <c r="R261" s="31">
        <v>86608.877101874721</v>
      </c>
      <c r="S261" s="31">
        <v>89118.392825556031</v>
      </c>
      <c r="T261" s="31">
        <v>91258.806332281354</v>
      </c>
      <c r="U261" s="31">
        <v>93628.326948510658</v>
      </c>
      <c r="V261" s="31">
        <v>95682.857021108459</v>
      </c>
      <c r="W261" s="31">
        <v>97731.780722385694</v>
      </c>
      <c r="X261" s="31">
        <v>98924.569819021999</v>
      </c>
    </row>
    <row r="262" spans="1:24">
      <c r="A262" s="260" t="s">
        <v>382</v>
      </c>
      <c r="B262" s="305">
        <f>NPV(0.1,D262:Y262)</f>
        <v>263737.04144152562</v>
      </c>
      <c r="C262" s="305">
        <f>B262-B252</f>
        <v>-4308.6300557903014</v>
      </c>
      <c r="D262" s="309">
        <v>20913.45567373493</v>
      </c>
      <c r="E262" s="310">
        <v>25862.684551140588</v>
      </c>
      <c r="F262" s="310">
        <v>26351.154616627144</v>
      </c>
      <c r="G262" s="310">
        <v>26754.170564020376</v>
      </c>
      <c r="H262" s="310">
        <v>27245.002685183194</v>
      </c>
      <c r="I262" s="310">
        <v>27778.850101195258</v>
      </c>
      <c r="J262" s="310">
        <v>28460.858288918509</v>
      </c>
      <c r="K262" s="310">
        <v>29283.281183374496</v>
      </c>
      <c r="L262" s="310">
        <v>30244.003110049733</v>
      </c>
      <c r="M262" s="310">
        <v>31293.704418500263</v>
      </c>
      <c r="N262" s="311">
        <v>32579.887270654381</v>
      </c>
      <c r="O262" s="31">
        <v>34058.533910830534</v>
      </c>
      <c r="P262" s="31">
        <v>35724.523611395824</v>
      </c>
      <c r="Q262" s="31">
        <v>37439.342853193579</v>
      </c>
      <c r="R262" s="31">
        <v>39306.663357411613</v>
      </c>
      <c r="S262" s="31">
        <v>41229.564969335021</v>
      </c>
      <c r="T262" s="31">
        <v>43225.629917393402</v>
      </c>
      <c r="U262" s="31">
        <v>45430.055980865036</v>
      </c>
      <c r="V262" s="31">
        <v>47412.012304884636</v>
      </c>
      <c r="W262" s="31">
        <v>49427.676348341825</v>
      </c>
      <c r="X262" s="31">
        <v>50628.944039735419</v>
      </c>
    </row>
    <row r="263" spans="1:24">
      <c r="A263" s="260" t="s">
        <v>35</v>
      </c>
      <c r="B263" s="305">
        <f>NPV(0.1,D263:Y263)</f>
        <v>101197.45399157326</v>
      </c>
      <c r="C263" s="305">
        <f>B263-B253</f>
        <v>-3278.4993277417525</v>
      </c>
      <c r="D263" s="309">
        <v>326.79440600020826</v>
      </c>
      <c r="E263" s="310">
        <v>306.15340427636028</v>
      </c>
      <c r="F263" s="310">
        <v>261.45387534605641</v>
      </c>
      <c r="G263" s="310">
        <v>7607.3288121411179</v>
      </c>
      <c r="H263" s="310">
        <v>13376.447087665987</v>
      </c>
      <c r="I263" s="310">
        <v>14188.616588619419</v>
      </c>
      <c r="J263" s="310">
        <v>14777.791588285752</v>
      </c>
      <c r="K263" s="310">
        <v>15315.146968613606</v>
      </c>
      <c r="L263" s="310">
        <v>15874.937662103746</v>
      </c>
      <c r="M263" s="310">
        <v>16492.541273971699</v>
      </c>
      <c r="N263" s="311">
        <v>17102.766394768245</v>
      </c>
      <c r="O263" s="31">
        <v>17854.735597751307</v>
      </c>
      <c r="P263" s="31">
        <v>18646.28513503517</v>
      </c>
      <c r="Q263" s="31">
        <v>19514.135536844315</v>
      </c>
      <c r="R263" s="31">
        <v>20394.544053814432</v>
      </c>
      <c r="S263" s="31">
        <v>21323.704351120672</v>
      </c>
      <c r="T263" s="31">
        <v>22039.68782240291</v>
      </c>
      <c r="U263" s="31">
        <v>22821.35570953105</v>
      </c>
      <c r="V263" s="31">
        <v>23604.157975304766</v>
      </c>
      <c r="W263" s="31">
        <v>24423.4230497668</v>
      </c>
      <c r="X263" s="31">
        <v>25308.145042590917</v>
      </c>
    </row>
    <row r="264" spans="1:24">
      <c r="A264" s="260" t="s">
        <v>32</v>
      </c>
      <c r="B264" s="305">
        <f>NPV(0.1,D264:Y264)</f>
        <v>137564.36616502053</v>
      </c>
      <c r="C264" s="305">
        <f>B264-B254</f>
        <v>-2329.6524918446958</v>
      </c>
      <c r="D264" s="312">
        <v>4202.1220228158963</v>
      </c>
      <c r="E264" s="313">
        <v>7506.9079269386702</v>
      </c>
      <c r="F264" s="313">
        <v>6999.0695292040591</v>
      </c>
      <c r="G264" s="313">
        <v>19727.647169151409</v>
      </c>
      <c r="H264" s="313">
        <v>25504.067174608557</v>
      </c>
      <c r="I264" s="313">
        <v>25969.254873902428</v>
      </c>
      <c r="J264" s="313">
        <v>20397.705983971355</v>
      </c>
      <c r="K264" s="313">
        <v>19201.607622332995</v>
      </c>
      <c r="L264" s="313">
        <v>19106.357768710619</v>
      </c>
      <c r="M264" s="313">
        <v>18962.583261631946</v>
      </c>
      <c r="N264" s="314">
        <v>18874.407808711963</v>
      </c>
      <c r="O264" s="31">
        <v>18761.895016616225</v>
      </c>
      <c r="P264" s="31">
        <v>18602.464370690206</v>
      </c>
      <c r="Q264" s="31">
        <v>18386.569055228971</v>
      </c>
      <c r="R264" s="31">
        <v>18217.553869457606</v>
      </c>
      <c r="S264" s="31">
        <v>15266.506274103478</v>
      </c>
      <c r="T264" s="31">
        <v>12184.72790941795</v>
      </c>
      <c r="U264" s="31">
        <v>11716.401848790476</v>
      </c>
      <c r="V264" s="31">
        <v>11301.711118272913</v>
      </c>
      <c r="W264" s="31">
        <v>17573.031724877736</v>
      </c>
      <c r="X264" s="31">
        <v>29514.823337684684</v>
      </c>
    </row>
    <row r="266" spans="1:24">
      <c r="A266" s="29" t="s">
        <v>509</v>
      </c>
    </row>
    <row r="267" spans="1:24">
      <c r="A267" s="261">
        <v>36260</v>
      </c>
    </row>
    <row r="268" spans="1:24">
      <c r="A268" s="254" t="s">
        <v>379</v>
      </c>
      <c r="B268" s="255">
        <v>42069.674082553822</v>
      </c>
      <c r="C268" s="256"/>
      <c r="D268" s="256"/>
      <c r="E268" s="256"/>
      <c r="F268" s="256"/>
      <c r="G268" s="256"/>
      <c r="H268" s="256"/>
      <c r="I268" s="256"/>
      <c r="J268" s="256"/>
      <c r="K268" s="256"/>
      <c r="L268" s="256"/>
      <c r="M268" s="256"/>
      <c r="N268" s="256"/>
      <c r="O268" s="256"/>
      <c r="P268" s="256"/>
      <c r="Q268" s="256"/>
      <c r="R268" s="256"/>
      <c r="S268" s="256"/>
      <c r="T268" s="256"/>
      <c r="U268" s="256"/>
      <c r="V268" s="256"/>
    </row>
    <row r="269" spans="1:24">
      <c r="A269" s="257" t="s">
        <v>380</v>
      </c>
      <c r="B269" s="258">
        <v>78869.611197049802</v>
      </c>
      <c r="C269" s="256"/>
      <c r="D269" s="256"/>
      <c r="E269" s="256"/>
      <c r="F269" s="256"/>
      <c r="G269" s="256"/>
      <c r="H269" s="256"/>
      <c r="I269" s="256"/>
      <c r="J269" s="256"/>
      <c r="K269" s="256"/>
      <c r="L269" s="256"/>
      <c r="M269" s="256"/>
      <c r="N269" s="256"/>
      <c r="O269" s="256"/>
      <c r="P269" s="256"/>
      <c r="Q269" s="256"/>
      <c r="R269" s="256"/>
      <c r="S269" s="256"/>
      <c r="T269" s="256"/>
      <c r="U269" s="256"/>
      <c r="V269" s="256"/>
    </row>
    <row r="270" spans="1:24">
      <c r="A270" s="259" t="s">
        <v>383</v>
      </c>
      <c r="B270" s="304" t="s">
        <v>483</v>
      </c>
      <c r="C270" s="304" t="s">
        <v>484</v>
      </c>
      <c r="D270" s="306">
        <v>2000</v>
      </c>
      <c r="E270" s="307">
        <v>2001</v>
      </c>
      <c r="F270" s="307">
        <v>2002</v>
      </c>
      <c r="G270" s="307">
        <v>2003</v>
      </c>
      <c r="H270" s="307">
        <v>2004</v>
      </c>
      <c r="I270" s="307">
        <v>2005</v>
      </c>
      <c r="J270" s="307">
        <v>2006</v>
      </c>
      <c r="K270" s="307">
        <v>2007</v>
      </c>
      <c r="L270" s="307">
        <v>2008</v>
      </c>
      <c r="M270" s="307">
        <v>2009</v>
      </c>
      <c r="N270" s="308">
        <v>2010</v>
      </c>
      <c r="O270" s="256">
        <v>2011</v>
      </c>
      <c r="P270" s="256">
        <v>2012</v>
      </c>
      <c r="Q270" s="256">
        <v>2013</v>
      </c>
      <c r="R270" s="256">
        <v>2014</v>
      </c>
      <c r="S270" s="256">
        <v>2015</v>
      </c>
      <c r="T270" s="256">
        <v>2016</v>
      </c>
      <c r="U270" s="256">
        <v>2017</v>
      </c>
      <c r="V270" s="256">
        <v>2018</v>
      </c>
      <c r="W270" s="256">
        <v>2019</v>
      </c>
      <c r="X270" s="256">
        <v>2020</v>
      </c>
    </row>
    <row r="271" spans="1:24">
      <c r="A271" s="259" t="s">
        <v>381</v>
      </c>
      <c r="B271" s="305">
        <f>NPV(0.1,D271:Y271)</f>
        <v>574206.45203981374</v>
      </c>
      <c r="C271" s="305">
        <f>B271-B261</f>
        <v>136.02598300611135</v>
      </c>
      <c r="D271" s="309">
        <v>33075.650752092748</v>
      </c>
      <c r="E271" s="310">
        <v>46244.635995896497</v>
      </c>
      <c r="F271" s="310">
        <v>46602.830638618005</v>
      </c>
      <c r="G271" s="310">
        <v>58976.137827092069</v>
      </c>
      <c r="H271" s="310">
        <v>68898.074796482862</v>
      </c>
      <c r="I271" s="310">
        <v>70282.341432578149</v>
      </c>
      <c r="J271" s="310">
        <v>71445.666209184477</v>
      </c>
      <c r="K271" s="310">
        <v>72739.672115896115</v>
      </c>
      <c r="L271" s="310">
        <v>74161.21983237777</v>
      </c>
      <c r="M271" s="310">
        <v>75715.444041941693</v>
      </c>
      <c r="N271" s="311">
        <v>77437.690948350602</v>
      </c>
      <c r="O271" s="31">
        <v>79525.712289486924</v>
      </c>
      <c r="P271" s="31">
        <v>81796.959966031136</v>
      </c>
      <c r="Q271" s="31">
        <v>84167.589761261261</v>
      </c>
      <c r="R271" s="31">
        <v>86629.372290874715</v>
      </c>
      <c r="S271" s="31">
        <v>89139.993180522695</v>
      </c>
      <c r="T271" s="31">
        <v>91281.555058281345</v>
      </c>
      <c r="U271" s="31">
        <v>93652.390974210663</v>
      </c>
      <c r="V271" s="31">
        <v>95708.051252075122</v>
      </c>
      <c r="W271" s="31">
        <v>97758.122342452349</v>
      </c>
      <c r="X271" s="31">
        <v>98951.525123779342</v>
      </c>
    </row>
    <row r="272" spans="1:24">
      <c r="A272" s="260" t="s">
        <v>382</v>
      </c>
      <c r="B272" s="305">
        <f>NPV(0.1,D272:Y272)</f>
        <v>263873.06742453168</v>
      </c>
      <c r="C272" s="305">
        <f>B272-B262</f>
        <v>136.02598300605314</v>
      </c>
      <c r="D272" s="309">
        <v>20924.936469251596</v>
      </c>
      <c r="E272" s="310">
        <v>25875.867773573922</v>
      </c>
      <c r="F272" s="310">
        <v>26364.557301160479</v>
      </c>
      <c r="G272" s="310">
        <v>26767.734285620372</v>
      </c>
      <c r="H272" s="310">
        <v>27258.781450183193</v>
      </c>
      <c r="I272" s="310">
        <v>27792.904789461918</v>
      </c>
      <c r="J272" s="310">
        <v>28475.245852585176</v>
      </c>
      <c r="K272" s="310">
        <v>29298.089505474501</v>
      </c>
      <c r="L272" s="310">
        <v>30259.3186007164</v>
      </c>
      <c r="M272" s="310">
        <v>31309.617415600263</v>
      </c>
      <c r="N272" s="311">
        <v>32596.511678454382</v>
      </c>
      <c r="O272" s="31">
        <v>34075.990998097201</v>
      </c>
      <c r="P272" s="31">
        <v>35742.931210129158</v>
      </c>
      <c r="Q272" s="31">
        <v>37458.764789060246</v>
      </c>
      <c r="R272" s="31">
        <v>39327.158546411614</v>
      </c>
      <c r="S272" s="31">
        <v>41251.165324301692</v>
      </c>
      <c r="T272" s="31">
        <v>43248.378643393407</v>
      </c>
      <c r="U272" s="31">
        <v>45454.120006565041</v>
      </c>
      <c r="V272" s="31">
        <v>47437.206535851306</v>
      </c>
      <c r="W272" s="31">
        <v>49454.017968408487</v>
      </c>
      <c r="X272" s="31">
        <v>50655.899344492755</v>
      </c>
    </row>
    <row r="273" spans="1:24">
      <c r="A273" s="260" t="s">
        <v>35</v>
      </c>
      <c r="B273" s="305">
        <f>NPV(0.1,D273:Y273)</f>
        <v>101197.45399157322</v>
      </c>
      <c r="C273" s="305">
        <f>B273-B263</f>
        <v>0</v>
      </c>
      <c r="D273" s="309">
        <v>326.79440600021047</v>
      </c>
      <c r="E273" s="310">
        <v>306.15340427636028</v>
      </c>
      <c r="F273" s="310">
        <v>261.45387534605641</v>
      </c>
      <c r="G273" s="310">
        <v>7607.3288121411224</v>
      </c>
      <c r="H273" s="310">
        <v>13376.447087665987</v>
      </c>
      <c r="I273" s="310">
        <v>14188.616588619427</v>
      </c>
      <c r="J273" s="310">
        <v>14777.791588285747</v>
      </c>
      <c r="K273" s="310">
        <v>15315.146968613597</v>
      </c>
      <c r="L273" s="310">
        <v>15874.937662103735</v>
      </c>
      <c r="M273" s="310">
        <v>16492.541273971699</v>
      </c>
      <c r="N273" s="311">
        <v>17102.766394768245</v>
      </c>
      <c r="O273" s="31">
        <v>17854.735597751303</v>
      </c>
      <c r="P273" s="31">
        <v>18646.285135035167</v>
      </c>
      <c r="Q273" s="31">
        <v>19514.135536844304</v>
      </c>
      <c r="R273" s="31">
        <v>20394.544053814425</v>
      </c>
      <c r="S273" s="31">
        <v>21323.704351120665</v>
      </c>
      <c r="T273" s="31">
        <v>22039.687822402895</v>
      </c>
      <c r="U273" s="31">
        <v>22821.355709531039</v>
      </c>
      <c r="V273" s="31">
        <v>23604.157975304755</v>
      </c>
      <c r="W273" s="31">
        <v>24423.423049766789</v>
      </c>
      <c r="X273" s="31">
        <v>25308.145042590921</v>
      </c>
    </row>
    <row r="274" spans="1:24">
      <c r="A274" s="260" t="s">
        <v>32</v>
      </c>
      <c r="B274" s="305">
        <f>NPV(0.1,D274:Y274)</f>
        <v>137564.36616502053</v>
      </c>
      <c r="C274" s="305">
        <f>B274-B264</f>
        <v>0</v>
      </c>
      <c r="D274" s="312">
        <v>4202.1220228158973</v>
      </c>
      <c r="E274" s="313">
        <v>7506.9079269386702</v>
      </c>
      <c r="F274" s="313">
        <v>6999.0695292040591</v>
      </c>
      <c r="G274" s="313">
        <v>19727.647169151413</v>
      </c>
      <c r="H274" s="313">
        <v>25504.067174608557</v>
      </c>
      <c r="I274" s="313">
        <v>25969.254873902442</v>
      </c>
      <c r="J274" s="313">
        <v>20397.705983971344</v>
      </c>
      <c r="K274" s="313">
        <v>19201.607622332995</v>
      </c>
      <c r="L274" s="313">
        <v>19106.357768710608</v>
      </c>
      <c r="M274" s="313">
        <v>18962.583261631946</v>
      </c>
      <c r="N274" s="314">
        <v>18874.407808711978</v>
      </c>
      <c r="O274" s="31">
        <v>18761.895016616218</v>
      </c>
      <c r="P274" s="31">
        <v>18602.464370690199</v>
      </c>
      <c r="Q274" s="31">
        <v>18386.569055228978</v>
      </c>
      <c r="R274" s="31">
        <v>18217.553869457606</v>
      </c>
      <c r="S274" s="31">
        <v>15266.506274103485</v>
      </c>
      <c r="T274" s="31">
        <v>12184.727909417958</v>
      </c>
      <c r="U274" s="31">
        <v>11716.40184879048</v>
      </c>
      <c r="V274" s="31">
        <v>11301.711118272917</v>
      </c>
      <c r="W274" s="31">
        <v>17573.031724877739</v>
      </c>
      <c r="X274" s="31">
        <v>29514.823337684687</v>
      </c>
    </row>
    <row r="276" spans="1:24">
      <c r="A276" s="29" t="s">
        <v>511</v>
      </c>
    </row>
    <row r="277" spans="1:24">
      <c r="A277" s="261">
        <v>36260</v>
      </c>
    </row>
    <row r="278" spans="1:24">
      <c r="A278" s="254" t="s">
        <v>379</v>
      </c>
      <c r="B278" s="255">
        <v>42069.674082553815</v>
      </c>
      <c r="C278" s="256"/>
      <c r="D278" s="256"/>
      <c r="E278" s="256"/>
      <c r="F278" s="256"/>
      <c r="G278" s="256"/>
      <c r="H278" s="256"/>
      <c r="I278" s="256"/>
      <c r="J278" s="256"/>
      <c r="K278" s="256"/>
      <c r="L278" s="256"/>
      <c r="M278" s="256"/>
      <c r="N278" s="256"/>
      <c r="O278" s="256"/>
      <c r="P278" s="256"/>
      <c r="Q278" s="256"/>
      <c r="R278" s="256"/>
      <c r="S278" s="256"/>
      <c r="T278" s="256"/>
      <c r="U278" s="256"/>
      <c r="V278" s="256"/>
    </row>
    <row r="279" spans="1:24">
      <c r="A279" s="257" t="s">
        <v>380</v>
      </c>
      <c r="B279" s="258">
        <v>78869.611197049802</v>
      </c>
      <c r="C279" s="256"/>
      <c r="D279" s="256"/>
      <c r="E279" s="256"/>
      <c r="F279" s="256"/>
      <c r="G279" s="256"/>
      <c r="H279" s="256"/>
      <c r="I279" s="256"/>
      <c r="J279" s="256"/>
      <c r="K279" s="256"/>
      <c r="L279" s="256"/>
      <c r="M279" s="256"/>
      <c r="N279" s="256"/>
      <c r="O279" s="256"/>
      <c r="P279" s="256"/>
      <c r="Q279" s="256"/>
      <c r="R279" s="256"/>
      <c r="S279" s="256"/>
      <c r="T279" s="256"/>
      <c r="U279" s="256"/>
      <c r="V279" s="256"/>
    </row>
    <row r="280" spans="1:24">
      <c r="A280" s="259" t="s">
        <v>383</v>
      </c>
      <c r="B280" s="304" t="s">
        <v>483</v>
      </c>
      <c r="C280" s="304" t="s">
        <v>484</v>
      </c>
      <c r="D280" s="306">
        <v>2000</v>
      </c>
      <c r="E280" s="307">
        <v>2001</v>
      </c>
      <c r="F280" s="307">
        <v>2002</v>
      </c>
      <c r="G280" s="307">
        <v>2003</v>
      </c>
      <c r="H280" s="307">
        <v>2004</v>
      </c>
      <c r="I280" s="307">
        <v>2005</v>
      </c>
      <c r="J280" s="307">
        <v>2006</v>
      </c>
      <c r="K280" s="307">
        <v>2007</v>
      </c>
      <c r="L280" s="307">
        <v>2008</v>
      </c>
      <c r="M280" s="307">
        <v>2009</v>
      </c>
      <c r="N280" s="308">
        <v>2010</v>
      </c>
      <c r="O280" s="256">
        <v>2011</v>
      </c>
      <c r="P280" s="256">
        <v>2012</v>
      </c>
      <c r="Q280" s="256">
        <v>2013</v>
      </c>
      <c r="R280" s="256">
        <v>2014</v>
      </c>
      <c r="S280" s="256">
        <v>2015</v>
      </c>
      <c r="T280" s="256">
        <v>2016</v>
      </c>
      <c r="U280" s="256">
        <v>2017</v>
      </c>
      <c r="V280" s="256">
        <v>2018</v>
      </c>
      <c r="W280" s="256">
        <v>2019</v>
      </c>
      <c r="X280" s="256">
        <v>2020</v>
      </c>
    </row>
    <row r="281" spans="1:24">
      <c r="A281" s="259" t="s">
        <v>381</v>
      </c>
      <c r="B281" s="305">
        <f>NPV(0.1,D281:Y281)</f>
        <v>555176.67530991253</v>
      </c>
      <c r="C281" s="305">
        <f>B281-B271</f>
        <v>-19029.776729901205</v>
      </c>
      <c r="D281" s="309">
        <v>37419.807199999996</v>
      </c>
      <c r="E281" s="310">
        <v>47965.496081000005</v>
      </c>
      <c r="F281" s="310">
        <v>47985.518128429998</v>
      </c>
      <c r="G281" s="310">
        <v>60110.680772708074</v>
      </c>
      <c r="H281" s="310">
        <v>69701.253991007878</v>
      </c>
      <c r="I281" s="310">
        <v>70660.34613369414</v>
      </c>
      <c r="J281" s="310">
        <v>71310.737980529477</v>
      </c>
      <c r="K281" s="310">
        <v>71956.390611704614</v>
      </c>
      <c r="L281" s="310">
        <v>72596.434321617766</v>
      </c>
      <c r="M281" s="310">
        <v>73229.951487625192</v>
      </c>
      <c r="N281" s="311">
        <v>73855.974477753596</v>
      </c>
      <c r="O281" s="31">
        <v>74660.906956217921</v>
      </c>
      <c r="P281" s="31">
        <v>75467.496591410134</v>
      </c>
      <c r="Q281" s="31">
        <v>76275.118373503268</v>
      </c>
      <c r="R281" s="31">
        <v>77083.108300639724</v>
      </c>
      <c r="S281" s="31">
        <v>77890.761601918202</v>
      </c>
      <c r="T281" s="31">
        <v>78262.780525791357</v>
      </c>
      <c r="U281" s="31">
        <v>78606.850484705181</v>
      </c>
      <c r="V281" s="31">
        <v>78920.95972373063</v>
      </c>
      <c r="W281" s="31">
        <v>79203.000936711367</v>
      </c>
      <c r="X281" s="31">
        <v>79450.767343769578</v>
      </c>
    </row>
    <row r="282" spans="1:24">
      <c r="A282" s="260" t="s">
        <v>382</v>
      </c>
      <c r="B282" s="305">
        <f>NPV(0.1,D282:Y282)</f>
        <v>244843.29069463053</v>
      </c>
      <c r="C282" s="305">
        <f>B282-B272</f>
        <v>-19029.776729901147</v>
      </c>
      <c r="D282" s="309">
        <v>25269.092917158847</v>
      </c>
      <c r="E282" s="310">
        <v>27596.727858677423</v>
      </c>
      <c r="F282" s="310">
        <v>27747.244790972476</v>
      </c>
      <c r="G282" s="310">
        <v>27902.277231236378</v>
      </c>
      <c r="H282" s="310">
        <v>28061.960644708197</v>
      </c>
      <c r="I282" s="310">
        <v>28170.909490577924</v>
      </c>
      <c r="J282" s="310">
        <v>28340.317623930176</v>
      </c>
      <c r="K282" s="310">
        <v>28514.808001283</v>
      </c>
      <c r="L282" s="310">
        <v>28694.533089956403</v>
      </c>
      <c r="M282" s="310">
        <v>28824.124861283759</v>
      </c>
      <c r="N282" s="311">
        <v>29014.795207857376</v>
      </c>
      <c r="O282" s="31">
        <v>29211.185664828201</v>
      </c>
      <c r="P282" s="31">
        <v>29413.467835508152</v>
      </c>
      <c r="Q282" s="31">
        <v>29566.29340130225</v>
      </c>
      <c r="R282" s="31">
        <v>29780.894556176609</v>
      </c>
      <c r="S282" s="31">
        <v>30001.933745697199</v>
      </c>
      <c r="T282" s="31">
        <v>30229.604110903405</v>
      </c>
      <c r="U282" s="31">
        <v>30408.579517059548</v>
      </c>
      <c r="V282" s="31">
        <v>30650.115007506811</v>
      </c>
      <c r="W282" s="31">
        <v>30898.896562667498</v>
      </c>
      <c r="X282" s="31">
        <v>31155.141564483001</v>
      </c>
    </row>
    <row r="283" spans="1:24">
      <c r="A283" s="260" t="s">
        <v>35</v>
      </c>
      <c r="B283" s="305">
        <f>NPV(0.1,D283:Y283)</f>
        <v>101197.45399157326</v>
      </c>
      <c r="C283" s="305">
        <f>B283-B273</f>
        <v>0</v>
      </c>
      <c r="D283" s="309">
        <v>326.79440600020826</v>
      </c>
      <c r="E283" s="310">
        <v>306.15340427636465</v>
      </c>
      <c r="F283" s="310">
        <v>261.45387534605533</v>
      </c>
      <c r="G283" s="310">
        <v>7607.3288121411224</v>
      </c>
      <c r="H283" s="310">
        <v>13376.447087665991</v>
      </c>
      <c r="I283" s="310">
        <v>14188.616588619419</v>
      </c>
      <c r="J283" s="310">
        <v>14777.791588285747</v>
      </c>
      <c r="K283" s="310">
        <v>15315.146968613599</v>
      </c>
      <c r="L283" s="310">
        <v>15874.937662103737</v>
      </c>
      <c r="M283" s="310">
        <v>16492.541273971703</v>
      </c>
      <c r="N283" s="311">
        <v>17102.766394768245</v>
      </c>
      <c r="O283" s="31">
        <v>17854.735597751307</v>
      </c>
      <c r="P283" s="31">
        <v>18646.28513503517</v>
      </c>
      <c r="Q283" s="31">
        <v>19514.135536844315</v>
      </c>
      <c r="R283" s="31">
        <v>20394.544053814439</v>
      </c>
      <c r="S283" s="31">
        <v>21323.704351120665</v>
      </c>
      <c r="T283" s="31">
        <v>22039.68782240291</v>
      </c>
      <c r="U283" s="31">
        <v>22821.35570953105</v>
      </c>
      <c r="V283" s="31">
        <v>23604.157975304763</v>
      </c>
      <c r="W283" s="31">
        <v>24423.4230497668</v>
      </c>
      <c r="X283" s="31">
        <v>25308.145042590917</v>
      </c>
    </row>
    <row r="284" spans="1:24">
      <c r="A284" s="260" t="s">
        <v>32</v>
      </c>
      <c r="B284" s="305">
        <f>NPV(0.1,D284:Y284)</f>
        <v>137564.36616502053</v>
      </c>
      <c r="C284" s="305">
        <f>B284-B274</f>
        <v>0</v>
      </c>
      <c r="D284" s="312">
        <v>4202.1220228158963</v>
      </c>
      <c r="E284" s="313">
        <v>7506.9079269386721</v>
      </c>
      <c r="F284" s="313">
        <v>6999.0695292040609</v>
      </c>
      <c r="G284" s="313">
        <v>19727.647169151413</v>
      </c>
      <c r="H284" s="313">
        <v>25504.067174608554</v>
      </c>
      <c r="I284" s="313">
        <v>25969.254873902428</v>
      </c>
      <c r="J284" s="313">
        <v>20397.705983971347</v>
      </c>
      <c r="K284" s="313">
        <v>19201.607622332995</v>
      </c>
      <c r="L284" s="313">
        <v>19106.357768710615</v>
      </c>
      <c r="M284" s="313">
        <v>18962.583261631939</v>
      </c>
      <c r="N284" s="314">
        <v>18874.407808711963</v>
      </c>
      <c r="O284" s="31">
        <v>18761.895016616225</v>
      </c>
      <c r="P284" s="31">
        <v>18602.464370690206</v>
      </c>
      <c r="Q284" s="31">
        <v>18386.569055228971</v>
      </c>
      <c r="R284" s="31">
        <v>18217.553869457613</v>
      </c>
      <c r="S284" s="31">
        <v>15266.506274103474</v>
      </c>
      <c r="T284" s="31">
        <v>12184.72790941795</v>
      </c>
      <c r="U284" s="31">
        <v>11716.401848790476</v>
      </c>
      <c r="V284" s="31">
        <v>11301.71111827291</v>
      </c>
      <c r="W284" s="31">
        <v>17573.031724877736</v>
      </c>
      <c r="X284" s="31">
        <v>29514.823337684684</v>
      </c>
    </row>
    <row r="286" spans="1:24">
      <c r="A286" s="29" t="s">
        <v>537</v>
      </c>
    </row>
    <row r="287" spans="1:24">
      <c r="A287" s="261">
        <v>36263</v>
      </c>
    </row>
    <row r="288" spans="1:24">
      <c r="A288" s="254" t="s">
        <v>379</v>
      </c>
      <c r="B288" s="255">
        <v>53870.497057083339</v>
      </c>
      <c r="C288" s="256"/>
      <c r="D288" s="256"/>
      <c r="E288" s="256"/>
      <c r="F288" s="256"/>
      <c r="G288" s="256"/>
      <c r="H288" s="256"/>
      <c r="I288" s="256"/>
      <c r="J288" s="256"/>
      <c r="K288" s="256"/>
      <c r="L288" s="256"/>
      <c r="M288" s="256"/>
      <c r="N288" s="256"/>
      <c r="O288" s="256"/>
      <c r="P288" s="256"/>
      <c r="Q288" s="256"/>
      <c r="R288" s="256"/>
      <c r="S288" s="256"/>
      <c r="T288" s="256"/>
      <c r="U288" s="256"/>
      <c r="V288" s="256"/>
    </row>
    <row r="289" spans="1:24">
      <c r="A289" s="257" t="s">
        <v>380</v>
      </c>
      <c r="B289" s="258">
        <v>94085.215434841346</v>
      </c>
      <c r="C289" s="256"/>
      <c r="D289" s="256"/>
      <c r="E289" s="256"/>
      <c r="F289" s="256"/>
      <c r="G289" s="256"/>
      <c r="H289" s="256"/>
      <c r="I289" s="256"/>
      <c r="J289" s="256"/>
      <c r="K289" s="256"/>
      <c r="L289" s="256"/>
      <c r="M289" s="256"/>
      <c r="N289" s="256"/>
      <c r="O289" s="256"/>
      <c r="P289" s="256"/>
      <c r="Q289" s="256"/>
      <c r="R289" s="256"/>
      <c r="S289" s="256"/>
      <c r="T289" s="256"/>
      <c r="U289" s="256"/>
      <c r="V289" s="256"/>
    </row>
    <row r="290" spans="1:24">
      <c r="A290" s="259" t="s">
        <v>383</v>
      </c>
      <c r="B290" s="304" t="s">
        <v>483</v>
      </c>
      <c r="C290" s="304" t="s">
        <v>484</v>
      </c>
      <c r="D290" s="306">
        <v>2000</v>
      </c>
      <c r="E290" s="307">
        <v>2001</v>
      </c>
      <c r="F290" s="307">
        <v>2002</v>
      </c>
      <c r="G290" s="307">
        <v>2003</v>
      </c>
      <c r="H290" s="307">
        <v>2004</v>
      </c>
      <c r="I290" s="307">
        <v>2005</v>
      </c>
      <c r="J290" s="307">
        <v>2006</v>
      </c>
      <c r="K290" s="307">
        <v>2007</v>
      </c>
      <c r="L290" s="307">
        <v>2008</v>
      </c>
      <c r="M290" s="307">
        <v>2009</v>
      </c>
      <c r="N290" s="308">
        <v>2010</v>
      </c>
      <c r="O290" s="256">
        <v>2011</v>
      </c>
      <c r="P290" s="256">
        <v>2012</v>
      </c>
      <c r="Q290" s="256">
        <v>2013</v>
      </c>
      <c r="R290" s="256">
        <v>2014</v>
      </c>
      <c r="S290" s="256">
        <v>2015</v>
      </c>
      <c r="T290" s="256">
        <v>2016</v>
      </c>
      <c r="U290" s="256">
        <v>2017</v>
      </c>
      <c r="V290" s="256">
        <v>2018</v>
      </c>
      <c r="W290" s="256">
        <v>2019</v>
      </c>
      <c r="X290" s="256">
        <v>2020</v>
      </c>
    </row>
    <row r="291" spans="1:24">
      <c r="A291" s="259" t="s">
        <v>381</v>
      </c>
      <c r="B291" s="305">
        <f>NPV(0.1,D291:Y291)</f>
        <v>570686.60133224493</v>
      </c>
      <c r="C291" s="305">
        <f>B291-B281</f>
        <v>15509.926022332394</v>
      </c>
      <c r="D291" s="309">
        <v>38221.393400000001</v>
      </c>
      <c r="E291" s="310">
        <v>48070.797617000004</v>
      </c>
      <c r="F291" s="310">
        <v>48148.077710509991</v>
      </c>
      <c r="G291" s="310">
        <v>61384.841142250472</v>
      </c>
      <c r="H291" s="310">
        <v>71788.034421636548</v>
      </c>
      <c r="I291" s="310">
        <v>72809.693977241681</v>
      </c>
      <c r="J291" s="310">
        <v>73524.530259383435</v>
      </c>
      <c r="K291" s="310">
        <v>74236.560658924194</v>
      </c>
      <c r="L291" s="310">
        <v>74944.973470253928</v>
      </c>
      <c r="M291" s="310">
        <v>75648.910810720423</v>
      </c>
      <c r="N291" s="311">
        <v>76347.466580541703</v>
      </c>
      <c r="O291" s="31">
        <v>77227.107822089674</v>
      </c>
      <c r="P291" s="31">
        <v>78110.647483258028</v>
      </c>
      <c r="Q291" s="31">
        <v>78997.527792106615</v>
      </c>
      <c r="R291" s="31">
        <v>79887.154001801158</v>
      </c>
      <c r="S291" s="31">
        <v>80778.892674114482</v>
      </c>
      <c r="T291" s="31">
        <v>81237.519530153528</v>
      </c>
      <c r="U291" s="31">
        <v>81670.795659198207</v>
      </c>
      <c r="V291" s="31">
        <v>82076.787253458446</v>
      </c>
      <c r="W291" s="31">
        <v>82453.467292331028</v>
      </c>
      <c r="X291" s="31">
        <v>82798.711690057826</v>
      </c>
    </row>
    <row r="292" spans="1:24">
      <c r="A292" s="260" t="s">
        <v>382</v>
      </c>
      <c r="B292" s="305">
        <f>NPV(0.1,D292:Y292)</f>
        <v>245489.76700338791</v>
      </c>
      <c r="C292" s="305">
        <f>B292-B282</f>
        <v>646.47630875738105</v>
      </c>
      <c r="D292" s="309">
        <v>26031.492574770717</v>
      </c>
      <c r="E292" s="310">
        <v>27590.695377529777</v>
      </c>
      <c r="F292" s="310">
        <v>27741.213582904835</v>
      </c>
      <c r="G292" s="310">
        <v>27896.247334441134</v>
      </c>
      <c r="H292" s="310">
        <v>28055.932098523528</v>
      </c>
      <c r="I292" s="310">
        <v>28164.882335522139</v>
      </c>
      <c r="J292" s="310">
        <v>28334.29190173715</v>
      </c>
      <c r="K292" s="310">
        <v>28508.783754938613</v>
      </c>
      <c r="L292" s="310">
        <v>28688.510363736114</v>
      </c>
      <c r="M292" s="310">
        <v>28818.103700791289</v>
      </c>
      <c r="N292" s="311">
        <v>29008.775660064566</v>
      </c>
      <c r="O292" s="31">
        <v>29205.167778116032</v>
      </c>
      <c r="P292" s="31">
        <v>29407.451659709048</v>
      </c>
      <c r="Q292" s="31">
        <v>29560.278987743597</v>
      </c>
      <c r="R292" s="31">
        <v>29774.881957725629</v>
      </c>
      <c r="S292" s="31">
        <v>29995.923016807119</v>
      </c>
      <c r="T292" s="31">
        <v>30223.595307661053</v>
      </c>
      <c r="U292" s="31">
        <v>30402.572697234351</v>
      </c>
      <c r="V292" s="31">
        <v>30644.110230601294</v>
      </c>
      <c r="W292" s="31">
        <v>30892.893889969244</v>
      </c>
      <c r="X292" s="31">
        <v>31149.141059118228</v>
      </c>
    </row>
    <row r="293" spans="1:24">
      <c r="A293" s="260" t="s">
        <v>35</v>
      </c>
      <c r="B293" s="305">
        <f>NPV(0.1,D293:Y293)</f>
        <v>107358.11675992074</v>
      </c>
      <c r="C293" s="305">
        <f>B293-B283</f>
        <v>6160.6627683474799</v>
      </c>
      <c r="D293" s="309">
        <v>143.62891198462967</v>
      </c>
      <c r="E293" s="310">
        <v>4.3007344270343797</v>
      </c>
      <c r="F293" s="310">
        <v>-30.616165280499828</v>
      </c>
      <c r="G293" s="310">
        <v>7968.9417242052141</v>
      </c>
      <c r="H293" s="310">
        <v>14225.548262392818</v>
      </c>
      <c r="I293" s="310">
        <v>15081.995597165964</v>
      </c>
      <c r="J293" s="310">
        <v>15718.287601641194</v>
      </c>
      <c r="K293" s="310">
        <v>16305.805199774792</v>
      </c>
      <c r="L293" s="310">
        <v>16919.025216685623</v>
      </c>
      <c r="M293" s="310">
        <v>17593.564249884141</v>
      </c>
      <c r="N293" s="311">
        <v>18264.48833031498</v>
      </c>
      <c r="O293" s="31">
        <v>19081.197375438293</v>
      </c>
      <c r="P293" s="31">
        <v>19941.826456940889</v>
      </c>
      <c r="Q293" s="31">
        <v>20883.418096654757</v>
      </c>
      <c r="R293" s="31">
        <v>21842.576540614904</v>
      </c>
      <c r="S293" s="31">
        <v>22855.869430824892</v>
      </c>
      <c r="T293" s="31">
        <v>23661.771254350366</v>
      </c>
      <c r="U293" s="31">
        <v>24539.577768365569</v>
      </c>
      <c r="V293" s="31">
        <v>25425.207361835612</v>
      </c>
      <c r="W293" s="31">
        <v>26354.493489187753</v>
      </c>
      <c r="X293" s="31">
        <v>27356.974784280581</v>
      </c>
    </row>
    <row r="294" spans="1:24">
      <c r="A294" s="260" t="s">
        <v>32</v>
      </c>
      <c r="B294" s="305">
        <f>NPV(0.1,D294:Y294)</f>
        <v>142711.87953822472</v>
      </c>
      <c r="C294" s="305">
        <f>B294-B284</f>
        <v>5147.5133732041868</v>
      </c>
      <c r="D294" s="312">
        <v>4215.674035391794</v>
      </c>
      <c r="E294" s="313">
        <v>7545.4109412022317</v>
      </c>
      <c r="F294" s="313">
        <v>7057.3738441301175</v>
      </c>
      <c r="G294" s="313">
        <v>20511.763707283222</v>
      </c>
      <c r="H294" s="313">
        <v>26785.912672906732</v>
      </c>
      <c r="I294" s="313">
        <v>27289.422060546971</v>
      </c>
      <c r="J294" s="313">
        <v>20266.535858178766</v>
      </c>
      <c r="K294" s="313">
        <v>19950.575817791629</v>
      </c>
      <c r="L294" s="313">
        <v>19862.073052216736</v>
      </c>
      <c r="M294" s="313">
        <v>19723.996741290059</v>
      </c>
      <c r="N294" s="314">
        <v>19640.339021506748</v>
      </c>
      <c r="O294" s="31">
        <v>19531.019972929898</v>
      </c>
      <c r="P294" s="31">
        <v>19373.302599487513</v>
      </c>
      <c r="Q294" s="31">
        <v>19157.469568676333</v>
      </c>
      <c r="R294" s="31">
        <v>18986.679959205787</v>
      </c>
      <c r="S294" s="31">
        <v>16031.819044401656</v>
      </c>
      <c r="T294" s="31">
        <v>12943.968444599614</v>
      </c>
      <c r="U294" s="31">
        <v>12467.07190443244</v>
      </c>
      <c r="V294" s="31">
        <v>12041.052216429769</v>
      </c>
      <c r="W294" s="31">
        <v>18335.113863230159</v>
      </c>
      <c r="X294" s="31">
        <v>31563.653079374344</v>
      </c>
    </row>
    <row r="296" spans="1:24">
      <c r="A296" s="29" t="s">
        <v>538</v>
      </c>
    </row>
    <row r="297" spans="1:24">
      <c r="A297" s="261">
        <v>36264</v>
      </c>
    </row>
    <row r="298" spans="1:24">
      <c r="A298" s="254" t="s">
        <v>379</v>
      </c>
      <c r="B298" s="255">
        <v>59516.868104659057</v>
      </c>
      <c r="C298" s="256"/>
      <c r="D298" s="256"/>
      <c r="E298" s="256"/>
      <c r="F298" s="256"/>
      <c r="G298" s="256"/>
      <c r="H298" s="256"/>
      <c r="I298" s="256"/>
      <c r="J298" s="256"/>
      <c r="K298" s="256"/>
      <c r="L298" s="256"/>
      <c r="M298" s="256"/>
      <c r="N298" s="256"/>
      <c r="O298" s="256"/>
      <c r="P298" s="256"/>
      <c r="Q298" s="256"/>
      <c r="R298" s="256"/>
      <c r="S298" s="256"/>
      <c r="T298" s="256"/>
      <c r="U298" s="256"/>
      <c r="V298" s="256"/>
    </row>
    <row r="299" spans="1:24">
      <c r="A299" s="257" t="s">
        <v>380</v>
      </c>
      <c r="B299" s="258">
        <v>99658.454134963205</v>
      </c>
      <c r="C299" s="256"/>
      <c r="D299" s="256"/>
      <c r="E299" s="256"/>
      <c r="F299" s="256"/>
      <c r="G299" s="256"/>
      <c r="H299" s="256"/>
      <c r="I299" s="256"/>
      <c r="J299" s="256"/>
      <c r="K299" s="256"/>
      <c r="L299" s="256"/>
      <c r="M299" s="256"/>
      <c r="N299" s="256"/>
      <c r="O299" s="256"/>
      <c r="P299" s="256"/>
      <c r="Q299" s="256"/>
      <c r="R299" s="256"/>
      <c r="S299" s="256"/>
      <c r="T299" s="256"/>
      <c r="U299" s="256"/>
      <c r="V299" s="256"/>
    </row>
    <row r="300" spans="1:24">
      <c r="A300" s="259" t="s">
        <v>383</v>
      </c>
      <c r="B300" s="304" t="s">
        <v>483</v>
      </c>
      <c r="C300" s="304" t="s">
        <v>484</v>
      </c>
      <c r="D300" s="306">
        <v>2000</v>
      </c>
      <c r="E300" s="307">
        <v>2001</v>
      </c>
      <c r="F300" s="307">
        <v>2002</v>
      </c>
      <c r="G300" s="307">
        <v>2003</v>
      </c>
      <c r="H300" s="307">
        <v>2004</v>
      </c>
      <c r="I300" s="307">
        <v>2005</v>
      </c>
      <c r="J300" s="307">
        <v>2006</v>
      </c>
      <c r="K300" s="307">
        <v>2007</v>
      </c>
      <c r="L300" s="307">
        <v>2008</v>
      </c>
      <c r="M300" s="307">
        <v>2009</v>
      </c>
      <c r="N300" s="308">
        <v>2010</v>
      </c>
      <c r="O300" s="256">
        <v>2011</v>
      </c>
      <c r="P300" s="256">
        <v>2012</v>
      </c>
      <c r="Q300" s="256">
        <v>2013</v>
      </c>
      <c r="R300" s="256">
        <v>2014</v>
      </c>
      <c r="S300" s="256">
        <v>2015</v>
      </c>
      <c r="T300" s="256">
        <v>2016</v>
      </c>
      <c r="U300" s="256">
        <v>2017</v>
      </c>
      <c r="V300" s="256">
        <v>2018</v>
      </c>
      <c r="W300" s="256">
        <v>2019</v>
      </c>
      <c r="X300" s="256">
        <v>2020</v>
      </c>
    </row>
    <row r="301" spans="1:24">
      <c r="A301" s="259" t="s">
        <v>381</v>
      </c>
      <c r="B301" s="305">
        <f>NPV(0.1,D301:Y301)</f>
        <v>570686.60133224493</v>
      </c>
      <c r="C301" s="305">
        <f>B301-B291</f>
        <v>0</v>
      </c>
      <c r="D301" s="309">
        <v>38221.393400000001</v>
      </c>
      <c r="E301" s="310">
        <v>48070.797617000004</v>
      </c>
      <c r="F301" s="310">
        <v>48148.077710509991</v>
      </c>
      <c r="G301" s="310">
        <v>61384.841142250472</v>
      </c>
      <c r="H301" s="310">
        <v>71788.034421636548</v>
      </c>
      <c r="I301" s="310">
        <v>72809.693977241681</v>
      </c>
      <c r="J301" s="310">
        <v>73524.530259383435</v>
      </c>
      <c r="K301" s="310">
        <v>74236.560658924194</v>
      </c>
      <c r="L301" s="310">
        <v>74944.973470253928</v>
      </c>
      <c r="M301" s="310">
        <v>75648.910810720423</v>
      </c>
      <c r="N301" s="311">
        <v>76347.466580541703</v>
      </c>
      <c r="O301" s="31">
        <v>77227.107822089674</v>
      </c>
      <c r="P301" s="31">
        <v>78110.647483258028</v>
      </c>
      <c r="Q301" s="31">
        <v>78997.527792106615</v>
      </c>
      <c r="R301" s="31">
        <v>79887.154001801158</v>
      </c>
      <c r="S301" s="31">
        <v>80778.892674114482</v>
      </c>
      <c r="T301" s="31">
        <v>81237.519530153528</v>
      </c>
      <c r="U301" s="31">
        <v>81670.795659198207</v>
      </c>
      <c r="V301" s="31">
        <v>82076.787253458446</v>
      </c>
      <c r="W301" s="31">
        <v>82453.467292331028</v>
      </c>
      <c r="X301" s="31">
        <v>82798.711690057826</v>
      </c>
    </row>
    <row r="302" spans="1:24">
      <c r="A302" s="260" t="s">
        <v>382</v>
      </c>
      <c r="B302" s="305">
        <f>NPV(0.1,D302:Y302)</f>
        <v>245432.53797282052</v>
      </c>
      <c r="C302" s="305">
        <f>B302-B292</f>
        <v>-57.229030567395967</v>
      </c>
      <c r="D302" s="309">
        <v>26022.062575314081</v>
      </c>
      <c r="E302" s="310">
        <v>27584.408711225355</v>
      </c>
      <c r="F302" s="310">
        <v>27734.926916600412</v>
      </c>
      <c r="G302" s="310">
        <v>27889.960668136711</v>
      </c>
      <c r="H302" s="310">
        <v>28049.645432219106</v>
      </c>
      <c r="I302" s="310">
        <v>28158.595669217717</v>
      </c>
      <c r="J302" s="310">
        <v>28328.005235432727</v>
      </c>
      <c r="K302" s="310">
        <v>28502.497088634191</v>
      </c>
      <c r="L302" s="310">
        <v>28682.223697431691</v>
      </c>
      <c r="M302" s="310">
        <v>28811.817034486867</v>
      </c>
      <c r="N302" s="311">
        <v>29002.488993760144</v>
      </c>
      <c r="O302" s="31">
        <v>29198.88111181161</v>
      </c>
      <c r="P302" s="31">
        <v>29401.164993404625</v>
      </c>
      <c r="Q302" s="31">
        <v>29553.992321439175</v>
      </c>
      <c r="R302" s="31">
        <v>29768.595291421207</v>
      </c>
      <c r="S302" s="31">
        <v>29989.636350502697</v>
      </c>
      <c r="T302" s="31">
        <v>30217.308641356631</v>
      </c>
      <c r="U302" s="31">
        <v>30396.286030929929</v>
      </c>
      <c r="V302" s="31">
        <v>30637.823564296872</v>
      </c>
      <c r="W302" s="31">
        <v>30886.607223664822</v>
      </c>
      <c r="X302" s="31">
        <v>31142.854392813806</v>
      </c>
    </row>
    <row r="303" spans="1:24">
      <c r="A303" s="260" t="s">
        <v>35</v>
      </c>
      <c r="B303" s="305">
        <f>NPV(0.1,D303:Y303)</f>
        <v>107299.64411299345</v>
      </c>
      <c r="C303" s="305">
        <f>B303-B293</f>
        <v>-58.472646927286405</v>
      </c>
      <c r="D303" s="309">
        <v>142.4581685465231</v>
      </c>
      <c r="E303" s="310">
        <v>-3.5162587780125927</v>
      </c>
      <c r="F303" s="310">
        <v>-38.338270284132747</v>
      </c>
      <c r="G303" s="310">
        <v>7961.3218612386036</v>
      </c>
      <c r="H303" s="310">
        <v>14217.961203022949</v>
      </c>
      <c r="I303" s="310">
        <v>15074.443965680581</v>
      </c>
      <c r="J303" s="310">
        <v>15710.774232271046</v>
      </c>
      <c r="K303" s="310">
        <v>16298.333153489108</v>
      </c>
      <c r="L303" s="310">
        <v>16911.597799331154</v>
      </c>
      <c r="M303" s="310">
        <v>17586.185031775378</v>
      </c>
      <c r="N303" s="311">
        <v>18257.16116739159</v>
      </c>
      <c r="O303" s="31">
        <v>19073.926432115099</v>
      </c>
      <c r="P303" s="31">
        <v>19934.616230785905</v>
      </c>
      <c r="Q303" s="31">
        <v>20876.27344504145</v>
      </c>
      <c r="R303" s="31">
        <v>21835.5027095066</v>
      </c>
      <c r="S303" s="31">
        <v>22848.872085862</v>
      </c>
      <c r="T303" s="31">
        <v>23654.856514424508</v>
      </c>
      <c r="U303" s="31">
        <v>24532.752241879716</v>
      </c>
      <c r="V303" s="31">
        <v>25418.478185864959</v>
      </c>
      <c r="W303" s="31">
        <v>26347.868371773518</v>
      </c>
      <c r="X303" s="31">
        <v>27350.462050107282</v>
      </c>
    </row>
    <row r="304" spans="1:24">
      <c r="A304" s="260" t="s">
        <v>32</v>
      </c>
      <c r="B304" s="305">
        <f>NPV(0.1,D304:Y304)</f>
        <v>141808.67757220301</v>
      </c>
      <c r="C304" s="305">
        <f>B304-B294</f>
        <v>-903.20196602170472</v>
      </c>
      <c r="D304" s="312">
        <v>4218.9352435372139</v>
      </c>
      <c r="E304" s="313">
        <v>7547.5850799658419</v>
      </c>
      <c r="F304" s="313">
        <v>7059.5479828937314</v>
      </c>
      <c r="G304" s="313">
        <v>20515.614290394675</v>
      </c>
      <c r="H304" s="313">
        <v>26789.763256018185</v>
      </c>
      <c r="I304" s="313">
        <v>27293.272643658427</v>
      </c>
      <c r="J304" s="313">
        <v>20369.47973211213</v>
      </c>
      <c r="K304" s="313">
        <v>19965.941641727633</v>
      </c>
      <c r="L304" s="313">
        <v>19877.386844684166</v>
      </c>
      <c r="M304" s="313">
        <v>19739.301533696147</v>
      </c>
      <c r="N304" s="314">
        <v>19655.586899921869</v>
      </c>
      <c r="O304" s="31">
        <v>19546.253578159496</v>
      </c>
      <c r="P304" s="31">
        <v>19388.473595752024</v>
      </c>
      <c r="Q304" s="31">
        <v>19172.620141183277</v>
      </c>
      <c r="R304" s="31">
        <v>19001.761280129835</v>
      </c>
      <c r="S304" s="31">
        <v>16040.156709023215</v>
      </c>
      <c r="T304" s="31">
        <v>12945.558429944955</v>
      </c>
      <c r="U304" s="31">
        <v>12468.603234820715</v>
      </c>
      <c r="V304" s="31">
        <v>12042.520199464416</v>
      </c>
      <c r="W304" s="31">
        <v>11509.812684632812</v>
      </c>
      <c r="X304" s="31">
        <v>31567.493425435558</v>
      </c>
    </row>
    <row r="306" spans="1:24">
      <c r="A306" s="29" t="s">
        <v>587</v>
      </c>
    </row>
    <row r="307" spans="1:24">
      <c r="A307" s="261">
        <v>36266</v>
      </c>
    </row>
    <row r="308" spans="1:24">
      <c r="A308" s="254" t="s">
        <v>379</v>
      </c>
      <c r="B308" s="255">
        <v>60849.855485961729</v>
      </c>
      <c r="C308" s="256"/>
      <c r="D308" s="256"/>
      <c r="E308" s="256"/>
      <c r="F308" s="256"/>
      <c r="G308" s="256"/>
      <c r="H308" s="256"/>
      <c r="I308" s="256"/>
      <c r="J308" s="256"/>
      <c r="K308" s="256"/>
      <c r="L308" s="256"/>
      <c r="M308" s="256"/>
      <c r="N308" s="256"/>
      <c r="O308" s="256"/>
      <c r="P308" s="256"/>
      <c r="Q308" s="256"/>
      <c r="R308" s="256"/>
      <c r="S308" s="256"/>
      <c r="T308" s="256"/>
      <c r="U308" s="256"/>
      <c r="V308" s="256"/>
    </row>
    <row r="309" spans="1:24">
      <c r="A309" s="257" t="s">
        <v>380</v>
      </c>
      <c r="B309" s="258">
        <v>101507.30923048776</v>
      </c>
      <c r="C309" s="256"/>
      <c r="D309" s="256"/>
      <c r="E309" s="256"/>
      <c r="F309" s="256"/>
      <c r="G309" s="256"/>
      <c r="H309" s="256"/>
      <c r="I309" s="256"/>
      <c r="J309" s="256"/>
      <c r="K309" s="256"/>
      <c r="L309" s="256"/>
      <c r="M309" s="256"/>
      <c r="N309" s="256"/>
      <c r="O309" s="256"/>
      <c r="P309" s="256"/>
      <c r="Q309" s="256"/>
      <c r="R309" s="256"/>
      <c r="S309" s="256"/>
      <c r="T309" s="256"/>
      <c r="U309" s="256"/>
      <c r="V309" s="256"/>
    </row>
    <row r="310" spans="1:24">
      <c r="A310" s="259" t="s">
        <v>383</v>
      </c>
      <c r="B310" s="304" t="s">
        <v>483</v>
      </c>
      <c r="C310" s="304" t="s">
        <v>484</v>
      </c>
      <c r="D310" s="306">
        <v>2000</v>
      </c>
      <c r="E310" s="307">
        <v>2001</v>
      </c>
      <c r="F310" s="307">
        <v>2002</v>
      </c>
      <c r="G310" s="307">
        <v>2003</v>
      </c>
      <c r="H310" s="307">
        <v>2004</v>
      </c>
      <c r="I310" s="307">
        <v>2005</v>
      </c>
      <c r="J310" s="307">
        <v>2006</v>
      </c>
      <c r="K310" s="307">
        <v>2007</v>
      </c>
      <c r="L310" s="307">
        <v>2008</v>
      </c>
      <c r="M310" s="307">
        <v>2009</v>
      </c>
      <c r="N310" s="308">
        <v>2010</v>
      </c>
      <c r="O310" s="256">
        <v>2011</v>
      </c>
      <c r="P310" s="256">
        <v>2012</v>
      </c>
      <c r="Q310" s="256">
        <v>2013</v>
      </c>
      <c r="R310" s="256">
        <v>2014</v>
      </c>
      <c r="S310" s="256">
        <v>2015</v>
      </c>
      <c r="T310" s="256">
        <v>2016</v>
      </c>
      <c r="U310" s="256">
        <v>2017</v>
      </c>
      <c r="V310" s="256">
        <v>2018</v>
      </c>
      <c r="W310" s="256">
        <v>2019</v>
      </c>
      <c r="X310" s="256">
        <v>2020</v>
      </c>
    </row>
    <row r="311" spans="1:24">
      <c r="A311" s="259" t="s">
        <v>381</v>
      </c>
      <c r="B311" s="305">
        <f>NPV(0.1,D311:Y311)</f>
        <v>572463.45463756949</v>
      </c>
      <c r="C311" s="305">
        <f>B311-B301</f>
        <v>1776.8533053245628</v>
      </c>
      <c r="D311" s="309">
        <v>38221.393400000001</v>
      </c>
      <c r="E311" s="310">
        <v>48070.797616999989</v>
      </c>
      <c r="F311" s="310">
        <v>48148.077710509991</v>
      </c>
      <c r="G311" s="310">
        <v>61643.760337769039</v>
      </c>
      <c r="H311" s="310">
        <v>72397.604184800279</v>
      </c>
      <c r="I311" s="310">
        <v>73594.51504731497</v>
      </c>
      <c r="J311" s="310">
        <v>74171.222821123825</v>
      </c>
      <c r="K311" s="310">
        <v>74736.130662868629</v>
      </c>
      <c r="L311" s="310">
        <v>75288.011539629108</v>
      </c>
      <c r="M311" s="310">
        <v>75825.575416448642</v>
      </c>
      <c r="N311" s="311">
        <v>76347.466580541688</v>
      </c>
      <c r="O311" s="31">
        <v>77227.107822089674</v>
      </c>
      <c r="P311" s="31">
        <v>78110.647483258028</v>
      </c>
      <c r="Q311" s="31">
        <v>78997.527792106601</v>
      </c>
      <c r="R311" s="31">
        <v>79887.154001801173</v>
      </c>
      <c r="S311" s="31">
        <v>80778.892674114482</v>
      </c>
      <c r="T311" s="31">
        <v>81237.519530153528</v>
      </c>
      <c r="U311" s="31">
        <v>81670.795659198222</v>
      </c>
      <c r="V311" s="31">
        <v>82076.787253458446</v>
      </c>
      <c r="W311" s="31">
        <v>82453.467292331028</v>
      </c>
      <c r="X311" s="31">
        <v>82798.711690057826</v>
      </c>
    </row>
    <row r="312" spans="1:24">
      <c r="A312" s="260" t="s">
        <v>382</v>
      </c>
      <c r="B312" s="305">
        <f>NPV(0.1,D312:Y312)</f>
        <v>245424.99011348229</v>
      </c>
      <c r="C312" s="305">
        <f>B312-B302</f>
        <v>-7.5478593382285908</v>
      </c>
      <c r="D312" s="309">
        <v>26020.818865456484</v>
      </c>
      <c r="E312" s="310">
        <v>27583.579571320293</v>
      </c>
      <c r="F312" s="310">
        <v>27734.097776695347</v>
      </c>
      <c r="G312" s="310">
        <v>27889.131528231646</v>
      </c>
      <c r="H312" s="310">
        <v>28048.816292314044</v>
      </c>
      <c r="I312" s="310">
        <v>28157.766529312648</v>
      </c>
      <c r="J312" s="310">
        <v>28327.176095527662</v>
      </c>
      <c r="K312" s="310">
        <v>28501.667948729126</v>
      </c>
      <c r="L312" s="310">
        <v>28681.394557526626</v>
      </c>
      <c r="M312" s="310">
        <v>28810.987894581802</v>
      </c>
      <c r="N312" s="311">
        <v>29001.659853855079</v>
      </c>
      <c r="O312" s="31">
        <v>29198.051971906545</v>
      </c>
      <c r="P312" s="31">
        <v>29400.33585349956</v>
      </c>
      <c r="Q312" s="31">
        <v>29553.16318153411</v>
      </c>
      <c r="R312" s="31">
        <v>29767.766151516142</v>
      </c>
      <c r="S312" s="31">
        <v>29988.807210597632</v>
      </c>
      <c r="T312" s="31">
        <v>30216.479501451566</v>
      </c>
      <c r="U312" s="31">
        <v>30395.456891024864</v>
      </c>
      <c r="V312" s="31">
        <v>30636.994424391807</v>
      </c>
      <c r="W312" s="31">
        <v>30885.778083759753</v>
      </c>
      <c r="X312" s="31">
        <v>31142.025252908737</v>
      </c>
    </row>
    <row r="313" spans="1:24">
      <c r="A313" s="260" t="s">
        <v>35</v>
      </c>
      <c r="B313" s="305">
        <f>NPV(0.1,D313:Y313)</f>
        <v>108186.44704642292</v>
      </c>
      <c r="C313" s="305">
        <f>B313-B303</f>
        <v>886.8029334294697</v>
      </c>
      <c r="D313" s="309">
        <v>119.71313258080976</v>
      </c>
      <c r="E313" s="310">
        <v>-45.086526196971761</v>
      </c>
      <c r="F313" s="310">
        <v>-83.143641035662256</v>
      </c>
      <c r="G313" s="310">
        <v>8071.1970563563373</v>
      </c>
      <c r="H313" s="310">
        <v>14543.149911617325</v>
      </c>
      <c r="I313" s="310">
        <v>15514.658495058489</v>
      </c>
      <c r="J313" s="310">
        <v>16078.600826936919</v>
      </c>
      <c r="K313" s="310">
        <v>16586.570085628846</v>
      </c>
      <c r="L313" s="310">
        <v>17112.479383849874</v>
      </c>
      <c r="M313" s="310">
        <v>17691.338510195324</v>
      </c>
      <c r="N313" s="311">
        <v>18257.560251527848</v>
      </c>
      <c r="O313" s="31">
        <v>19074.3329309783</v>
      </c>
      <c r="P313" s="31">
        <v>19935.0307375542</v>
      </c>
      <c r="Q313" s="31">
        <v>20876.69660034723</v>
      </c>
      <c r="R313" s="31">
        <v>21835.93520523289</v>
      </c>
      <c r="S313" s="31">
        <v>22849.31466924242</v>
      </c>
      <c r="T313" s="31">
        <v>23655.309992471397</v>
      </c>
      <c r="U313" s="31">
        <v>24533.217486166395</v>
      </c>
      <c r="V313" s="31">
        <v>25418.956137690595</v>
      </c>
      <c r="W313" s="31">
        <v>26348.36004774124</v>
      </c>
      <c r="X313" s="31">
        <v>27350.968548148448</v>
      </c>
    </row>
    <row r="314" spans="1:24">
      <c r="A314" s="260" t="s">
        <v>32</v>
      </c>
      <c r="B314" s="305">
        <f>NPV(0.1,D314:Y314)</f>
        <v>142339.03837893301</v>
      </c>
      <c r="C314" s="305">
        <f>B314-B304</f>
        <v>530.36080672999378</v>
      </c>
      <c r="D314" s="312">
        <v>4219.3653598629671</v>
      </c>
      <c r="E314" s="313">
        <v>7547.8718241830047</v>
      </c>
      <c r="F314" s="313">
        <v>7059.834727110896</v>
      </c>
      <c r="G314" s="313">
        <v>20674.710145841651</v>
      </c>
      <c r="H314" s="313">
        <v>27163.632584147817</v>
      </c>
      <c r="I314" s="313">
        <v>27626.412214079664</v>
      </c>
      <c r="J314" s="313">
        <v>20168.599849144972</v>
      </c>
      <c r="K314" s="313">
        <v>20082.929638506503</v>
      </c>
      <c r="L314" s="313">
        <v>19955.93235284086</v>
      </c>
      <c r="M314" s="313">
        <v>19778.881435103878</v>
      </c>
      <c r="N314" s="314">
        <v>19655.832363176232</v>
      </c>
      <c r="O314" s="31">
        <v>19546.494166470246</v>
      </c>
      <c r="P314" s="31">
        <v>19388.708919123659</v>
      </c>
      <c r="Q314" s="31">
        <v>19172.849778420677</v>
      </c>
      <c r="R314" s="31">
        <v>19001.984776342259</v>
      </c>
      <c r="S314" s="31">
        <v>16040.373572928669</v>
      </c>
      <c r="T314" s="31">
        <v>12945.768130958881</v>
      </c>
      <c r="U314" s="31">
        <v>12468.8051999118</v>
      </c>
      <c r="V314" s="31">
        <v>12042.713809758807</v>
      </c>
      <c r="W314" s="31">
        <v>11509.99727174679</v>
      </c>
      <c r="X314" s="31">
        <v>31567.999923476724</v>
      </c>
    </row>
    <row r="316" spans="1:24">
      <c r="A316" s="29" t="s">
        <v>589</v>
      </c>
    </row>
    <row r="317" spans="1:24">
      <c r="A317" s="261">
        <v>36266</v>
      </c>
    </row>
    <row r="318" spans="1:24">
      <c r="A318" s="254" t="s">
        <v>379</v>
      </c>
      <c r="B318" s="255">
        <v>60849.855485961743</v>
      </c>
      <c r="C318" s="256"/>
      <c r="D318" s="256"/>
      <c r="E318" s="256"/>
      <c r="F318" s="256"/>
      <c r="G318" s="256"/>
      <c r="H318" s="256"/>
      <c r="I318" s="256"/>
      <c r="J318" s="256"/>
      <c r="K318" s="256"/>
      <c r="L318" s="256"/>
      <c r="M318" s="256"/>
      <c r="N318" s="256"/>
      <c r="O318" s="256"/>
      <c r="P318" s="256"/>
      <c r="Q318" s="256"/>
      <c r="R318" s="256"/>
      <c r="S318" s="256"/>
      <c r="T318" s="256"/>
      <c r="U318" s="256"/>
      <c r="V318" s="256"/>
    </row>
    <row r="319" spans="1:24">
      <c r="A319" s="257" t="s">
        <v>380</v>
      </c>
      <c r="B319" s="258">
        <v>101507.30923048776</v>
      </c>
      <c r="C319" s="256"/>
      <c r="D319" s="256"/>
      <c r="E319" s="256"/>
      <c r="F319" s="256"/>
      <c r="G319" s="256"/>
      <c r="H319" s="256"/>
      <c r="I319" s="256"/>
      <c r="J319" s="256"/>
      <c r="K319" s="256"/>
      <c r="L319" s="256"/>
      <c r="M319" s="256"/>
      <c r="N319" s="256"/>
      <c r="O319" s="256"/>
      <c r="P319" s="256"/>
      <c r="Q319" s="256"/>
      <c r="R319" s="256"/>
      <c r="S319" s="256"/>
      <c r="T319" s="256"/>
      <c r="U319" s="256"/>
      <c r="V319" s="256"/>
    </row>
    <row r="320" spans="1:24">
      <c r="A320" s="259" t="s">
        <v>383</v>
      </c>
      <c r="B320" s="304" t="s">
        <v>483</v>
      </c>
      <c r="C320" s="304" t="s">
        <v>484</v>
      </c>
      <c r="D320" s="306">
        <v>2000</v>
      </c>
      <c r="E320" s="307">
        <v>2001</v>
      </c>
      <c r="F320" s="307">
        <v>2002</v>
      </c>
      <c r="G320" s="307">
        <v>2003</v>
      </c>
      <c r="H320" s="307">
        <v>2004</v>
      </c>
      <c r="I320" s="307">
        <v>2005</v>
      </c>
      <c r="J320" s="307">
        <v>2006</v>
      </c>
      <c r="K320" s="307">
        <v>2007</v>
      </c>
      <c r="L320" s="307">
        <v>2008</v>
      </c>
      <c r="M320" s="307">
        <v>2009</v>
      </c>
      <c r="N320" s="308">
        <v>2010</v>
      </c>
      <c r="O320" s="256">
        <v>2011</v>
      </c>
      <c r="P320" s="256">
        <v>2012</v>
      </c>
      <c r="Q320" s="256">
        <v>2013</v>
      </c>
      <c r="R320" s="256">
        <v>2014</v>
      </c>
      <c r="S320" s="256">
        <v>2015</v>
      </c>
      <c r="T320" s="256">
        <v>2016</v>
      </c>
      <c r="U320" s="256">
        <v>2017</v>
      </c>
      <c r="V320" s="256">
        <v>2018</v>
      </c>
      <c r="W320" s="256">
        <v>2019</v>
      </c>
      <c r="X320" s="256">
        <v>2020</v>
      </c>
    </row>
    <row r="321" spans="1:24">
      <c r="A321" s="259" t="s">
        <v>381</v>
      </c>
      <c r="B321" s="305">
        <f>NPV(0.1,D321:Y321)</f>
        <v>574778.65474754362</v>
      </c>
      <c r="C321" s="305">
        <f>B321-B311</f>
        <v>2315.2001099741319</v>
      </c>
      <c r="D321" s="309">
        <v>38489.087</v>
      </c>
      <c r="E321" s="310">
        <v>48338.491216999995</v>
      </c>
      <c r="F321" s="310">
        <v>48415.771310509997</v>
      </c>
      <c r="G321" s="310">
        <v>61911.453937769038</v>
      </c>
      <c r="H321" s="310">
        <v>72665.297784800277</v>
      </c>
      <c r="I321" s="310">
        <v>73862.208647314968</v>
      </c>
      <c r="J321" s="310">
        <v>74438.916421123824</v>
      </c>
      <c r="K321" s="310">
        <v>75003.824262868628</v>
      </c>
      <c r="L321" s="310">
        <v>75555.705139629106</v>
      </c>
      <c r="M321" s="310">
        <v>76093.269016448656</v>
      </c>
      <c r="N321" s="311">
        <v>76615.160180541687</v>
      </c>
      <c r="O321" s="31">
        <v>77494.801422089673</v>
      </c>
      <c r="P321" s="31">
        <v>78378.341083258027</v>
      </c>
      <c r="Q321" s="31">
        <v>79265.2213921066</v>
      </c>
      <c r="R321" s="31">
        <v>80154.847601801172</v>
      </c>
      <c r="S321" s="31">
        <v>81046.586274114481</v>
      </c>
      <c r="T321" s="31">
        <v>81505.213130153526</v>
      </c>
      <c r="U321" s="31">
        <v>81938.489259198221</v>
      </c>
      <c r="V321" s="31">
        <v>82344.480853458444</v>
      </c>
      <c r="W321" s="31">
        <v>82721.160892331027</v>
      </c>
      <c r="X321" s="31">
        <v>83066.405290057824</v>
      </c>
    </row>
    <row r="322" spans="1:24">
      <c r="A322" s="260" t="s">
        <v>382</v>
      </c>
      <c r="B322" s="305">
        <f>NPV(0.1,D322:Y322)</f>
        <v>247740.19022345648</v>
      </c>
      <c r="C322" s="305">
        <f>B322-B312</f>
        <v>2315.2001099741901</v>
      </c>
      <c r="D322" s="309">
        <v>26288.512465456486</v>
      </c>
      <c r="E322" s="310">
        <v>27851.273171320292</v>
      </c>
      <c r="F322" s="310">
        <v>28001.791376695346</v>
      </c>
      <c r="G322" s="310">
        <v>28156.825128231649</v>
      </c>
      <c r="H322" s="310">
        <v>28316.509892314043</v>
      </c>
      <c r="I322" s="310">
        <v>28425.460129312654</v>
      </c>
      <c r="J322" s="310">
        <v>28594.869695527661</v>
      </c>
      <c r="K322" s="310">
        <v>28769.361548729124</v>
      </c>
      <c r="L322" s="310">
        <v>28949.088157526628</v>
      </c>
      <c r="M322" s="310">
        <v>29078.681494581801</v>
      </c>
      <c r="N322" s="311">
        <v>29269.353453855078</v>
      </c>
      <c r="O322" s="31">
        <v>29465.745571906544</v>
      </c>
      <c r="P322" s="31">
        <v>29668.029453499559</v>
      </c>
      <c r="Q322" s="31">
        <v>29820.856781534112</v>
      </c>
      <c r="R322" s="31">
        <v>30035.45975151614</v>
      </c>
      <c r="S322" s="31">
        <v>30256.500810597634</v>
      </c>
      <c r="T322" s="31">
        <v>30484.173101451564</v>
      </c>
      <c r="U322" s="31">
        <v>30663.150491024862</v>
      </c>
      <c r="V322" s="31">
        <v>30904.688024391806</v>
      </c>
      <c r="W322" s="31">
        <v>31153.471683759752</v>
      </c>
      <c r="X322" s="31">
        <v>31409.718852908736</v>
      </c>
    </row>
    <row r="323" spans="1:24">
      <c r="A323" s="260" t="s">
        <v>35</v>
      </c>
      <c r="B323" s="305">
        <f>NPV(0.1,D323:Y323)</f>
        <v>108186.44704642292</v>
      </c>
      <c r="C323" s="305">
        <f>B323-B313</f>
        <v>0</v>
      </c>
      <c r="D323" s="309">
        <v>119.71313258080757</v>
      </c>
      <c r="E323" s="310">
        <v>-45.08652619696737</v>
      </c>
      <c r="F323" s="310">
        <v>-83.143641035657879</v>
      </c>
      <c r="G323" s="310">
        <v>8071.1970563563373</v>
      </c>
      <c r="H323" s="310">
        <v>14543.149911617325</v>
      </c>
      <c r="I323" s="310">
        <v>15514.658495058486</v>
      </c>
      <c r="J323" s="310">
        <v>16078.600826936919</v>
      </c>
      <c r="K323" s="310">
        <v>16586.570085628846</v>
      </c>
      <c r="L323" s="310">
        <v>17112.479383849874</v>
      </c>
      <c r="M323" s="310">
        <v>17691.338510195332</v>
      </c>
      <c r="N323" s="311">
        <v>18257.560251527848</v>
      </c>
      <c r="O323" s="31">
        <v>19074.3329309783</v>
      </c>
      <c r="P323" s="31">
        <v>19935.030737554196</v>
      </c>
      <c r="Q323" s="31">
        <v>20876.696600347226</v>
      </c>
      <c r="R323" s="31">
        <v>21835.93520523289</v>
      </c>
      <c r="S323" s="31">
        <v>22849.31466924242</v>
      </c>
      <c r="T323" s="31">
        <v>23655.309992471397</v>
      </c>
      <c r="U323" s="31">
        <v>24533.217486166388</v>
      </c>
      <c r="V323" s="31">
        <v>25418.956137690591</v>
      </c>
      <c r="W323" s="31">
        <v>26348.36004774124</v>
      </c>
      <c r="X323" s="31">
        <v>27350.968548148448</v>
      </c>
    </row>
    <row r="324" spans="1:24">
      <c r="A324" s="260" t="s">
        <v>32</v>
      </c>
      <c r="B324" s="305">
        <f>NPV(0.1,D324:Y324)</f>
        <v>142339.03837893307</v>
      </c>
      <c r="C324" s="305">
        <f>B324-B314</f>
        <v>0</v>
      </c>
      <c r="D324" s="312">
        <v>4219.3653598629653</v>
      </c>
      <c r="E324" s="313">
        <v>7547.8718241830074</v>
      </c>
      <c r="F324" s="313">
        <v>7059.8347271108996</v>
      </c>
      <c r="G324" s="313">
        <v>20674.710145841651</v>
      </c>
      <c r="H324" s="313">
        <v>27163.632584147817</v>
      </c>
      <c r="I324" s="313">
        <v>27626.412214079657</v>
      </c>
      <c r="J324" s="313">
        <v>20168.599849144979</v>
      </c>
      <c r="K324" s="313">
        <v>20082.929638506506</v>
      </c>
      <c r="L324" s="313">
        <v>19955.932352840857</v>
      </c>
      <c r="M324" s="313">
        <v>19778.881435103889</v>
      </c>
      <c r="N324" s="314">
        <v>19655.832363176236</v>
      </c>
      <c r="O324" s="31">
        <v>19546.494166470246</v>
      </c>
      <c r="P324" s="31">
        <v>19388.708919123666</v>
      </c>
      <c r="Q324" s="31">
        <v>19172.849778420685</v>
      </c>
      <c r="R324" s="31">
        <v>19001.984776342259</v>
      </c>
      <c r="S324" s="31">
        <v>16040.373572928673</v>
      </c>
      <c r="T324" s="31">
        <v>12945.768130958881</v>
      </c>
      <c r="U324" s="31">
        <v>12468.805199911789</v>
      </c>
      <c r="V324" s="31">
        <v>12042.713809758803</v>
      </c>
      <c r="W324" s="31">
        <v>11509.997271746794</v>
      </c>
      <c r="X324" s="31">
        <v>31567.999923476724</v>
      </c>
    </row>
    <row r="326" spans="1:24">
      <c r="A326" s="29" t="s">
        <v>592</v>
      </c>
    </row>
    <row r="327" spans="1:24">
      <c r="A327" s="261">
        <v>36268</v>
      </c>
    </row>
    <row r="328" spans="1:24">
      <c r="A328" s="254" t="s">
        <v>379</v>
      </c>
      <c r="B328" s="255">
        <v>63889.9821515195</v>
      </c>
      <c r="C328" s="256"/>
      <c r="D328" s="256"/>
      <c r="E328" s="256"/>
      <c r="F328" s="256"/>
      <c r="G328" s="256"/>
      <c r="H328" s="256"/>
      <c r="I328" s="256"/>
      <c r="J328" s="256"/>
      <c r="K328" s="256"/>
      <c r="L328" s="256"/>
      <c r="M328" s="256"/>
      <c r="N328" s="256"/>
      <c r="O328" s="256"/>
      <c r="P328" s="256"/>
      <c r="Q328" s="256"/>
      <c r="R328" s="256"/>
      <c r="S328" s="256"/>
      <c r="T328" s="256"/>
      <c r="U328" s="256"/>
      <c r="V328" s="256"/>
    </row>
    <row r="329" spans="1:24">
      <c r="A329" s="257" t="s">
        <v>380</v>
      </c>
      <c r="B329" s="258">
        <v>105464.74359759517</v>
      </c>
      <c r="C329" s="256"/>
      <c r="D329" s="256"/>
      <c r="E329" s="256"/>
      <c r="F329" s="256"/>
      <c r="G329" s="256"/>
      <c r="H329" s="256"/>
      <c r="I329" s="256"/>
      <c r="J329" s="256"/>
      <c r="K329" s="256"/>
      <c r="L329" s="256"/>
      <c r="M329" s="256"/>
      <c r="N329" s="256"/>
      <c r="O329" s="256"/>
      <c r="P329" s="256"/>
      <c r="Q329" s="256"/>
      <c r="R329" s="256"/>
      <c r="S329" s="256"/>
      <c r="T329" s="256"/>
      <c r="U329" s="256"/>
      <c r="V329" s="256"/>
    </row>
    <row r="330" spans="1:24">
      <c r="A330" s="259" t="s">
        <v>383</v>
      </c>
      <c r="B330" s="304" t="s">
        <v>483</v>
      </c>
      <c r="C330" s="304" t="s">
        <v>484</v>
      </c>
      <c r="D330" s="306">
        <v>2000</v>
      </c>
      <c r="E330" s="307">
        <v>2001</v>
      </c>
      <c r="F330" s="307">
        <v>2002</v>
      </c>
      <c r="G330" s="307">
        <v>2003</v>
      </c>
      <c r="H330" s="307">
        <v>2004</v>
      </c>
      <c r="I330" s="307">
        <v>2005</v>
      </c>
      <c r="J330" s="307">
        <v>2006</v>
      </c>
      <c r="K330" s="307">
        <v>2007</v>
      </c>
      <c r="L330" s="307">
        <v>2008</v>
      </c>
      <c r="M330" s="307">
        <v>2009</v>
      </c>
      <c r="N330" s="308">
        <v>2010</v>
      </c>
      <c r="O330" s="256">
        <v>2011</v>
      </c>
      <c r="P330" s="256">
        <v>2012</v>
      </c>
      <c r="Q330" s="256">
        <v>2013</v>
      </c>
      <c r="R330" s="256">
        <v>2014</v>
      </c>
      <c r="S330" s="256">
        <v>2015</v>
      </c>
      <c r="T330" s="256">
        <v>2016</v>
      </c>
      <c r="U330" s="256">
        <v>2017</v>
      </c>
      <c r="V330" s="256">
        <v>2018</v>
      </c>
      <c r="W330" s="256">
        <v>2019</v>
      </c>
      <c r="X330" s="256">
        <v>2020</v>
      </c>
    </row>
    <row r="331" spans="1:24">
      <c r="A331" s="259" t="s">
        <v>381</v>
      </c>
      <c r="B331" s="305">
        <f>NPV(0.1,D331:Y331)</f>
        <v>580647.95094359037</v>
      </c>
      <c r="C331" s="305">
        <f>B331-B321</f>
        <v>5869.296196046751</v>
      </c>
      <c r="D331" s="309">
        <v>38871.773200000003</v>
      </c>
      <c r="E331" s="310">
        <v>48826.814468000004</v>
      </c>
      <c r="F331" s="310">
        <v>48904.106974039998</v>
      </c>
      <c r="G331" s="310">
        <v>62544.780851460353</v>
      </c>
      <c r="H331" s="310">
        <v>73413.961346700075</v>
      </c>
      <c r="I331" s="310">
        <v>74622.90742079381</v>
      </c>
      <c r="J331" s="310">
        <v>75204.921325048141</v>
      </c>
      <c r="K331" s="310">
        <v>75774.980004719037</v>
      </c>
      <c r="L331" s="310">
        <v>76331.842333817622</v>
      </c>
      <c r="M331" s="310">
        <v>76874.20347849789</v>
      </c>
      <c r="N331" s="311">
        <v>77400.692191598544</v>
      </c>
      <c r="O331" s="31">
        <v>78288.765677911899</v>
      </c>
      <c r="P331" s="31">
        <v>79180.747508271612</v>
      </c>
      <c r="Q331" s="31">
        <v>80076.072917182784</v>
      </c>
      <c r="R331" s="31">
        <v>80974.139735711185</v>
      </c>
      <c r="S331" s="31">
        <v>81874.306655565786</v>
      </c>
      <c r="T331" s="31">
        <v>82336.645170417949</v>
      </c>
      <c r="U331" s="31">
        <v>82773.321678011242</v>
      </c>
      <c r="V331" s="31">
        <v>83182.380353246743</v>
      </c>
      <c r="W331" s="31">
        <v>83561.771117326178</v>
      </c>
      <c r="X331" s="31">
        <v>83909.34574277245</v>
      </c>
    </row>
    <row r="332" spans="1:24">
      <c r="A332" s="260" t="s">
        <v>382</v>
      </c>
      <c r="B332" s="305">
        <f>NPV(0.1,D332:Y332)</f>
        <v>249777.61872857483</v>
      </c>
      <c r="C332" s="305">
        <f>B332-B322</f>
        <v>2037.4285051183542</v>
      </c>
      <c r="D332" s="309">
        <v>26521.692377856587</v>
      </c>
      <c r="E332" s="310">
        <v>28086.494101021475</v>
      </c>
      <c r="F332" s="310">
        <v>28237.096302144524</v>
      </c>
      <c r="G332" s="310">
        <v>28392.216569301258</v>
      </c>
      <c r="H332" s="310">
        <v>28551.990444472696</v>
      </c>
      <c r="I332" s="310">
        <v>28661.032465893022</v>
      </c>
      <c r="J332" s="310">
        <v>28830.536570062402</v>
      </c>
      <c r="K332" s="310">
        <v>29005.125797356864</v>
      </c>
      <c r="L332" s="310">
        <v>29184.95270147016</v>
      </c>
      <c r="M332" s="310">
        <v>29314.649342700599</v>
      </c>
      <c r="N332" s="311">
        <v>29505.427705274389</v>
      </c>
      <c r="O332" s="31">
        <v>29701.929418725394</v>
      </c>
      <c r="P332" s="31">
        <v>29904.326183579935</v>
      </c>
      <c r="Q332" s="31">
        <v>30057.269781373856</v>
      </c>
      <c r="R332" s="31">
        <v>30271.992509208038</v>
      </c>
      <c r="S332" s="31">
        <v>30493.156918877241</v>
      </c>
      <c r="T332" s="31">
        <v>30720.95626083652</v>
      </c>
      <c r="U332" s="31">
        <v>30900.064513048328</v>
      </c>
      <c r="V332" s="31">
        <v>31141.736834932926</v>
      </c>
      <c r="W332" s="31">
        <v>31390.659326474062</v>
      </c>
      <c r="X332" s="31">
        <v>31647.049492761438</v>
      </c>
    </row>
    <row r="333" spans="1:24">
      <c r="A333" s="260" t="s">
        <v>35</v>
      </c>
      <c r="B333" s="305">
        <f>NPV(0.1,D333:Y333)</f>
        <v>109875.02587362593</v>
      </c>
      <c r="C333" s="305">
        <f>B333-B323</f>
        <v>1688.578827203004</v>
      </c>
      <c r="D333" s="309">
        <v>155.08209284038335</v>
      </c>
      <c r="E333" s="310">
        <v>13.918251086504545</v>
      </c>
      <c r="F333" s="310">
        <v>-23.702512993267192</v>
      </c>
      <c r="G333" s="310">
        <v>8219.6714286938459</v>
      </c>
      <c r="H333" s="310">
        <v>14762.139449993085</v>
      </c>
      <c r="I333" s="310">
        <v>15743.291780701888</v>
      </c>
      <c r="J333" s="310">
        <v>16313.183987280147</v>
      </c>
      <c r="K333" s="310">
        <v>16827.328443142822</v>
      </c>
      <c r="L333" s="310">
        <v>17359.652300556372</v>
      </c>
      <c r="M333" s="310">
        <v>17945.180497257035</v>
      </c>
      <c r="N333" s="311">
        <v>18518.34217037875</v>
      </c>
      <c r="O333" s="31">
        <v>19344.817760523696</v>
      </c>
      <c r="P333" s="31">
        <v>20215.752720840239</v>
      </c>
      <c r="Q333" s="31">
        <v>21168.228191247872</v>
      </c>
      <c r="R333" s="31">
        <v>22138.89007139004</v>
      </c>
      <c r="S333" s="31">
        <v>23164.350936081395</v>
      </c>
      <c r="T333" s="31">
        <v>23980.265162204225</v>
      </c>
      <c r="U333" s="31">
        <v>24868.58661801905</v>
      </c>
      <c r="V333" s="31">
        <v>25765.269691139616</v>
      </c>
      <c r="W333" s="31">
        <v>26706.186730872148</v>
      </c>
      <c r="X333" s="31">
        <v>27720.918398647354</v>
      </c>
    </row>
    <row r="334" spans="1:24">
      <c r="A334" s="260" t="s">
        <v>32</v>
      </c>
      <c r="B334" s="305">
        <f>NPV(0.1,D334:Y334)</f>
        <v>143511.06403790801</v>
      </c>
      <c r="C334" s="305">
        <f>B334-B324</f>
        <v>1172.0256589749479</v>
      </c>
      <c r="D334" s="312">
        <v>4271.0696176579313</v>
      </c>
      <c r="E334" s="313">
        <v>7635.4030436321827</v>
      </c>
      <c r="F334" s="313">
        <v>7147.3411906971833</v>
      </c>
      <c r="G334" s="313">
        <v>20918.445622822452</v>
      </c>
      <c r="H334" s="313">
        <v>27477.957177614266</v>
      </c>
      <c r="I334" s="313">
        <v>27455.00918250237</v>
      </c>
      <c r="J334" s="313">
        <v>20339.201036373383</v>
      </c>
      <c r="K334" s="313">
        <v>20252.56607952324</v>
      </c>
      <c r="L334" s="313">
        <v>20124.341136921408</v>
      </c>
      <c r="M334" s="313">
        <v>19945.780573455384</v>
      </c>
      <c r="N334" s="314">
        <v>19820.919547137273</v>
      </c>
      <c r="O334" s="31">
        <v>19710.299622588253</v>
      </c>
      <c r="P334" s="31">
        <v>19550.885464736206</v>
      </c>
      <c r="Q334" s="31">
        <v>19333.02076451265</v>
      </c>
      <c r="R334" s="31">
        <v>19159.741848913363</v>
      </c>
      <c r="S334" s="31">
        <v>16195.27426391329</v>
      </c>
      <c r="T334" s="31">
        <v>13096.343035685895</v>
      </c>
      <c r="U334" s="31">
        <v>12614.535839194141</v>
      </c>
      <c r="V334" s="31">
        <v>12183.044874248837</v>
      </c>
      <c r="W334" s="31">
        <v>11644.33410958853</v>
      </c>
      <c r="X334" s="31">
        <v>31937.949773975637</v>
      </c>
    </row>
    <row r="336" spans="1:24">
      <c r="A336" s="29" t="s">
        <v>593</v>
      </c>
    </row>
    <row r="337" spans="1:24">
      <c r="A337" s="261">
        <v>36268</v>
      </c>
    </row>
    <row r="338" spans="1:24">
      <c r="A338" s="254" t="s">
        <v>379</v>
      </c>
      <c r="B338" s="255">
        <v>74671.749684960276</v>
      </c>
      <c r="C338" s="256"/>
      <c r="D338" s="256"/>
      <c r="E338" s="256"/>
      <c r="F338" s="256"/>
      <c r="G338" s="256"/>
      <c r="H338" s="256"/>
      <c r="I338" s="256"/>
      <c r="J338" s="256"/>
      <c r="K338" s="256"/>
      <c r="L338" s="256"/>
      <c r="M338" s="256"/>
      <c r="N338" s="256"/>
      <c r="O338" s="256"/>
      <c r="P338" s="256"/>
      <c r="Q338" s="256"/>
      <c r="R338" s="256"/>
      <c r="S338" s="256"/>
      <c r="T338" s="256"/>
      <c r="U338" s="256"/>
      <c r="V338" s="256"/>
    </row>
    <row r="339" spans="1:24">
      <c r="A339" s="257" t="s">
        <v>380</v>
      </c>
      <c r="B339" s="258">
        <v>119479.76487392349</v>
      </c>
      <c r="C339" s="256"/>
      <c r="D339" s="256"/>
      <c r="E339" s="256"/>
      <c r="F339" s="256"/>
      <c r="G339" s="256"/>
      <c r="H339" s="256"/>
      <c r="I339" s="256"/>
      <c r="J339" s="256"/>
      <c r="K339" s="256"/>
      <c r="L339" s="256"/>
      <c r="M339" s="256"/>
      <c r="N339" s="256"/>
      <c r="O339" s="256"/>
      <c r="P339" s="256"/>
      <c r="Q339" s="256"/>
      <c r="R339" s="256"/>
      <c r="S339" s="256"/>
      <c r="T339" s="256"/>
      <c r="U339" s="256"/>
      <c r="V339" s="256"/>
    </row>
    <row r="340" spans="1:24">
      <c r="A340" s="259" t="s">
        <v>383</v>
      </c>
      <c r="B340" s="304" t="s">
        <v>483</v>
      </c>
      <c r="C340" s="304" t="s">
        <v>484</v>
      </c>
      <c r="D340" s="306">
        <v>2000</v>
      </c>
      <c r="E340" s="307">
        <v>2001</v>
      </c>
      <c r="F340" s="307">
        <v>2002</v>
      </c>
      <c r="G340" s="307">
        <v>2003</v>
      </c>
      <c r="H340" s="307">
        <v>2004</v>
      </c>
      <c r="I340" s="307">
        <v>2005</v>
      </c>
      <c r="J340" s="307">
        <v>2006</v>
      </c>
      <c r="K340" s="307">
        <v>2007</v>
      </c>
      <c r="L340" s="307">
        <v>2008</v>
      </c>
      <c r="M340" s="307">
        <v>2009</v>
      </c>
      <c r="N340" s="308">
        <v>2010</v>
      </c>
      <c r="O340" s="256">
        <v>2011</v>
      </c>
      <c r="P340" s="256">
        <v>2012</v>
      </c>
      <c r="Q340" s="256">
        <v>2013</v>
      </c>
      <c r="R340" s="256">
        <v>2014</v>
      </c>
      <c r="S340" s="256">
        <v>2015</v>
      </c>
      <c r="T340" s="256">
        <v>2016</v>
      </c>
      <c r="U340" s="256">
        <v>2017</v>
      </c>
      <c r="V340" s="256">
        <v>2018</v>
      </c>
      <c r="W340" s="256">
        <v>2019</v>
      </c>
      <c r="X340" s="256">
        <v>2020</v>
      </c>
    </row>
    <row r="341" spans="1:24">
      <c r="A341" s="259" t="s">
        <v>381</v>
      </c>
      <c r="B341" s="305">
        <f>NPV(0.1,D341:Y341)</f>
        <v>593740.54844376119</v>
      </c>
      <c r="C341" s="305">
        <f>B341-B331</f>
        <v>13092.597500170814</v>
      </c>
      <c r="D341" s="309">
        <v>42063.773200000003</v>
      </c>
      <c r="E341" s="310">
        <v>54298.814468000004</v>
      </c>
      <c r="F341" s="310">
        <v>54376.106974039998</v>
      </c>
      <c r="G341" s="310">
        <v>64824.780851460353</v>
      </c>
      <c r="H341" s="310">
        <v>73413.961346700075</v>
      </c>
      <c r="I341" s="310">
        <v>74622.90742079381</v>
      </c>
      <c r="J341" s="310">
        <v>75204.921325048141</v>
      </c>
      <c r="K341" s="310">
        <v>75774.980004719037</v>
      </c>
      <c r="L341" s="310">
        <v>76331.842333817622</v>
      </c>
      <c r="M341" s="310">
        <v>76874.20347849789</v>
      </c>
      <c r="N341" s="311">
        <v>77400.692191598544</v>
      </c>
      <c r="O341" s="31">
        <v>78288.765677911899</v>
      </c>
      <c r="P341" s="31">
        <v>79180.747508271612</v>
      </c>
      <c r="Q341" s="31">
        <v>80076.072917182784</v>
      </c>
      <c r="R341" s="31">
        <v>80974.139735711185</v>
      </c>
      <c r="S341" s="31">
        <v>81874.306655565786</v>
      </c>
      <c r="T341" s="31">
        <v>82336.645170417949</v>
      </c>
      <c r="U341" s="31">
        <v>82773.321678011242</v>
      </c>
      <c r="V341" s="31">
        <v>83182.380353246743</v>
      </c>
      <c r="W341" s="31">
        <v>83561.771117326178</v>
      </c>
      <c r="X341" s="31">
        <v>83909.34574277245</v>
      </c>
    </row>
    <row r="342" spans="1:24">
      <c r="A342" s="260" t="s">
        <v>382</v>
      </c>
      <c r="B342" s="305">
        <f>NPV(0.1,D342:Y342)</f>
        <v>249695.52327367157</v>
      </c>
      <c r="C342" s="305">
        <f>B342-B332</f>
        <v>-82.09545490326127</v>
      </c>
      <c r="D342" s="309">
        <v>26508.164975986347</v>
      </c>
      <c r="E342" s="310">
        <v>28077.475833107979</v>
      </c>
      <c r="F342" s="310">
        <v>28228.078034231028</v>
      </c>
      <c r="G342" s="310">
        <v>28383.198301387762</v>
      </c>
      <c r="H342" s="310">
        <v>28542.9721765592</v>
      </c>
      <c r="I342" s="310">
        <v>28652.014197979526</v>
      </c>
      <c r="J342" s="310">
        <v>28821.518302148907</v>
      </c>
      <c r="K342" s="310">
        <v>28996.107529443369</v>
      </c>
      <c r="L342" s="310">
        <v>29175.934433556664</v>
      </c>
      <c r="M342" s="310">
        <v>29305.631074787103</v>
      </c>
      <c r="N342" s="311">
        <v>29496.409437360893</v>
      </c>
      <c r="O342" s="31">
        <v>29692.911150811899</v>
      </c>
      <c r="P342" s="31">
        <v>29895.307915666439</v>
      </c>
      <c r="Q342" s="31">
        <v>30048.25151346036</v>
      </c>
      <c r="R342" s="31">
        <v>30262.974241294542</v>
      </c>
      <c r="S342" s="31">
        <v>30484.138650963745</v>
      </c>
      <c r="T342" s="31">
        <v>30711.937992923024</v>
      </c>
      <c r="U342" s="31">
        <v>30891.046245134832</v>
      </c>
      <c r="V342" s="31">
        <v>31132.71856701943</v>
      </c>
      <c r="W342" s="31">
        <v>31381.641058560566</v>
      </c>
      <c r="X342" s="31">
        <v>31638.031224847942</v>
      </c>
    </row>
    <row r="343" spans="1:24">
      <c r="A343" s="260" t="s">
        <v>35</v>
      </c>
      <c r="B343" s="305">
        <f>NPV(0.1,D343:Y343)</f>
        <v>117232.24972952149</v>
      </c>
      <c r="C343" s="305">
        <f>B343-B333</f>
        <v>7357.2238558955578</v>
      </c>
      <c r="D343" s="309">
        <v>1866.4977237825249</v>
      </c>
      <c r="E343" s="310">
        <v>3019.9163397103525</v>
      </c>
      <c r="F343" s="310">
        <v>3126.6296164591781</v>
      </c>
      <c r="G343" s="310">
        <v>9575.6212601391053</v>
      </c>
      <c r="H343" s="310">
        <v>14766.10732676654</v>
      </c>
      <c r="I343" s="310">
        <v>15747.310479029775</v>
      </c>
      <c r="J343" s="310">
        <v>16317.257572886834</v>
      </c>
      <c r="K343" s="310">
        <v>16831.461307010613</v>
      </c>
      <c r="L343" s="310">
        <v>17363.849184946157</v>
      </c>
      <c r="M343" s="310">
        <v>17949.446523810569</v>
      </c>
      <c r="N343" s="311">
        <v>18522.682870469129</v>
      </c>
      <c r="O343" s="31">
        <v>19349.239108033889</v>
      </c>
      <c r="P343" s="31">
        <v>20220.261167563811</v>
      </c>
      <c r="Q343" s="31">
        <v>21172.830705121894</v>
      </c>
      <c r="R343" s="31">
        <v>22143.594177786552</v>
      </c>
      <c r="S343" s="31">
        <v>23169.164762402193</v>
      </c>
      <c r="T343" s="31">
        <v>23985.197486043257</v>
      </c>
      <c r="U343" s="31">
        <v>24873.646919177776</v>
      </c>
      <c r="V343" s="31">
        <v>25770.468207803602</v>
      </c>
      <c r="W343" s="31">
        <v>26711.534520281828</v>
      </c>
      <c r="X343" s="31">
        <v>27726.427402622354</v>
      </c>
    </row>
    <row r="344" spans="1:24">
      <c r="A344" s="260" t="s">
        <v>32</v>
      </c>
      <c r="B344" s="305">
        <f>NPV(0.1,D344:Y344)</f>
        <v>145059.0813418701</v>
      </c>
      <c r="C344" s="305">
        <f>B344-B334</f>
        <v>1548.0173039620859</v>
      </c>
      <c r="D344" s="312">
        <v>5379.6478441380577</v>
      </c>
      <c r="E344" s="313">
        <v>9530.9218612856057</v>
      </c>
      <c r="F344" s="313">
        <v>9042.8600083506026</v>
      </c>
      <c r="G344" s="313">
        <v>22320.46931191946</v>
      </c>
      <c r="H344" s="313">
        <v>27483.480866711288</v>
      </c>
      <c r="I344" s="313">
        <v>21390.999779734258</v>
      </c>
      <c r="J344" s="313">
        <v>20342.046474426017</v>
      </c>
      <c r="K344" s="313">
        <v>20255.372544032649</v>
      </c>
      <c r="L344" s="313">
        <v>20127.105510004145</v>
      </c>
      <c r="M344" s="313">
        <v>19948.499487797308</v>
      </c>
      <c r="N344" s="314">
        <v>19823.589366039123</v>
      </c>
      <c r="O344" s="31">
        <v>19712.916418414825</v>
      </c>
      <c r="P344" s="31">
        <v>19553.44499564145</v>
      </c>
      <c r="Q344" s="31">
        <v>19335.518449302894</v>
      </c>
      <c r="R344" s="31">
        <v>19162.172739899386</v>
      </c>
      <c r="S344" s="31">
        <v>16197.633017590764</v>
      </c>
      <c r="T344" s="31">
        <v>13098.623881070125</v>
      </c>
      <c r="U344" s="31">
        <v>12616.732543621685</v>
      </c>
      <c r="V344" s="31">
        <v>12185.150706443153</v>
      </c>
      <c r="W344" s="31">
        <v>11646.341799770955</v>
      </c>
      <c r="X344" s="31">
        <v>31943.458777950633</v>
      </c>
    </row>
    <row r="346" spans="1:24">
      <c r="A346" s="29" t="s">
        <v>599</v>
      </c>
    </row>
    <row r="347" spans="1:24">
      <c r="A347" s="261">
        <v>36269</v>
      </c>
    </row>
    <row r="348" spans="1:24">
      <c r="A348" s="254" t="s">
        <v>379</v>
      </c>
      <c r="B348" s="255">
        <v>74647.360786373567</v>
      </c>
      <c r="C348" s="256"/>
      <c r="D348" s="256"/>
      <c r="E348" s="256"/>
      <c r="F348" s="256"/>
      <c r="G348" s="256"/>
      <c r="H348" s="256"/>
      <c r="I348" s="256"/>
      <c r="J348" s="256"/>
      <c r="K348" s="256"/>
      <c r="L348" s="256"/>
      <c r="M348" s="256"/>
      <c r="N348" s="256"/>
      <c r="O348" s="256"/>
      <c r="P348" s="256"/>
      <c r="Q348" s="256"/>
      <c r="R348" s="256"/>
      <c r="S348" s="256"/>
      <c r="T348" s="256"/>
      <c r="U348" s="256"/>
      <c r="V348" s="256"/>
    </row>
    <row r="349" spans="1:24">
      <c r="A349" s="257" t="s">
        <v>380</v>
      </c>
      <c r="B349" s="258">
        <v>119448.60377571093</v>
      </c>
      <c r="C349" s="256"/>
      <c r="D349" s="256"/>
      <c r="E349" s="256"/>
      <c r="F349" s="256"/>
      <c r="G349" s="256"/>
      <c r="H349" s="256"/>
      <c r="I349" s="256"/>
      <c r="J349" s="256"/>
      <c r="K349" s="256"/>
      <c r="L349" s="256"/>
      <c r="M349" s="256"/>
      <c r="N349" s="256"/>
      <c r="O349" s="256"/>
      <c r="P349" s="256"/>
      <c r="Q349" s="256"/>
      <c r="R349" s="256"/>
      <c r="S349" s="256"/>
      <c r="T349" s="256"/>
      <c r="U349" s="256"/>
      <c r="V349" s="256"/>
    </row>
    <row r="350" spans="1:24">
      <c r="A350" s="259" t="s">
        <v>383</v>
      </c>
      <c r="B350" s="304" t="s">
        <v>483</v>
      </c>
      <c r="C350" s="304" t="s">
        <v>484</v>
      </c>
      <c r="D350" s="306">
        <v>2000</v>
      </c>
      <c r="E350" s="307">
        <v>2001</v>
      </c>
      <c r="F350" s="307">
        <v>2002</v>
      </c>
      <c r="G350" s="307">
        <v>2003</v>
      </c>
      <c r="H350" s="307">
        <v>2004</v>
      </c>
      <c r="I350" s="307">
        <v>2005</v>
      </c>
      <c r="J350" s="307">
        <v>2006</v>
      </c>
      <c r="K350" s="307">
        <v>2007</v>
      </c>
      <c r="L350" s="307">
        <v>2008</v>
      </c>
      <c r="M350" s="307">
        <v>2009</v>
      </c>
      <c r="N350" s="308">
        <v>2010</v>
      </c>
      <c r="O350" s="256">
        <v>2011</v>
      </c>
      <c r="P350" s="256">
        <v>2012</v>
      </c>
      <c r="Q350" s="256">
        <v>2013</v>
      </c>
      <c r="R350" s="256">
        <v>2014</v>
      </c>
      <c r="S350" s="256">
        <v>2015</v>
      </c>
      <c r="T350" s="256">
        <v>2016</v>
      </c>
      <c r="U350" s="256">
        <v>2017</v>
      </c>
      <c r="V350" s="256">
        <v>2018</v>
      </c>
      <c r="W350" s="256">
        <v>2019</v>
      </c>
      <c r="X350" s="256">
        <v>2020</v>
      </c>
    </row>
    <row r="351" spans="1:24">
      <c r="A351" s="259" t="s">
        <v>381</v>
      </c>
      <c r="B351" s="305">
        <f>NPV(0.1,D351:Y351)</f>
        <v>593740.54844376119</v>
      </c>
      <c r="C351" s="305">
        <f>B351-B341</f>
        <v>0</v>
      </c>
      <c r="D351" s="309">
        <v>42063.773200000003</v>
      </c>
      <c r="E351" s="310">
        <v>54298.814468000004</v>
      </c>
      <c r="F351" s="310">
        <v>54376.106974039998</v>
      </c>
      <c r="G351" s="310">
        <v>64824.780851460353</v>
      </c>
      <c r="H351" s="310">
        <v>73413.961346700075</v>
      </c>
      <c r="I351" s="310">
        <v>74622.90742079381</v>
      </c>
      <c r="J351" s="310">
        <v>75204.921325048141</v>
      </c>
      <c r="K351" s="310">
        <v>75774.980004719037</v>
      </c>
      <c r="L351" s="310">
        <v>76331.842333817622</v>
      </c>
      <c r="M351" s="310">
        <v>76874.20347849789</v>
      </c>
      <c r="N351" s="311">
        <v>77400.692191598544</v>
      </c>
      <c r="O351" s="31">
        <v>78288.765677911899</v>
      </c>
      <c r="P351" s="31">
        <v>79180.747508271612</v>
      </c>
      <c r="Q351" s="31">
        <v>80076.072917182784</v>
      </c>
      <c r="R351" s="31">
        <v>80974.139735711185</v>
      </c>
      <c r="S351" s="31">
        <v>81874.306655565786</v>
      </c>
      <c r="T351" s="31">
        <v>82336.645170417949</v>
      </c>
      <c r="U351" s="31">
        <v>82773.321678011242</v>
      </c>
      <c r="V351" s="31">
        <v>83182.380353246743</v>
      </c>
      <c r="W351" s="31">
        <v>83561.771117326178</v>
      </c>
      <c r="X351" s="31">
        <v>83909.34574277245</v>
      </c>
    </row>
    <row r="352" spans="1:24">
      <c r="A352" s="260" t="s">
        <v>382</v>
      </c>
      <c r="B352" s="305">
        <f>NPV(0.1,D352:Y352)</f>
        <v>249725.0812356532</v>
      </c>
      <c r="C352" s="305">
        <f>B352-B342</f>
        <v>29.557961981627159</v>
      </c>
      <c r="D352" s="309">
        <v>26536.073651301969</v>
      </c>
      <c r="E352" s="310">
        <v>28077.920198873948</v>
      </c>
      <c r="F352" s="310">
        <v>28228.535130797001</v>
      </c>
      <c r="G352" s="310">
        <v>28383.668510677733</v>
      </c>
      <c r="H352" s="310">
        <v>28543.455891954891</v>
      </c>
      <c r="I352" s="310">
        <v>28652.51182466411</v>
      </c>
      <c r="J352" s="310">
        <v>28822.030257461047</v>
      </c>
      <c r="K352" s="310">
        <v>28996.634243241893</v>
      </c>
      <c r="L352" s="310">
        <v>29176.476348596167</v>
      </c>
      <c r="M352" s="310">
        <v>29306.188647104813</v>
      </c>
      <c r="N352" s="311">
        <v>29496.983136675153</v>
      </c>
      <c r="O352" s="31">
        <v>29693.50146093261</v>
      </c>
      <c r="P352" s="31">
        <v>29895.91533491779</v>
      </c>
      <c r="Q352" s="31">
        <v>30048.876555116272</v>
      </c>
      <c r="R352" s="31">
        <v>30263.617434027154</v>
      </c>
      <c r="S352" s="31">
        <v>30484.800539305354</v>
      </c>
      <c r="T352" s="31">
        <v>30712.619137741905</v>
      </c>
      <c r="U352" s="31">
        <v>30891.747224125298</v>
      </c>
      <c r="V352" s="31">
        <v>31133.439975206631</v>
      </c>
      <c r="W352" s="31">
        <v>31382.383508820407</v>
      </c>
      <c r="X352" s="31">
        <v>31638.795348442596</v>
      </c>
    </row>
    <row r="353" spans="1:24">
      <c r="A353" s="260" t="s">
        <v>35</v>
      </c>
      <c r="B353" s="305">
        <f>NPV(0.1,D353:Y353)</f>
        <v>117215.35243820734</v>
      </c>
      <c r="C353" s="305">
        <f>B353-B343</f>
        <v>-16.897291314147878</v>
      </c>
      <c r="D353" s="309">
        <v>1849.9965916284536</v>
      </c>
      <c r="E353" s="310">
        <v>3019.7558956842113</v>
      </c>
      <c r="F353" s="310">
        <v>3126.4561467535623</v>
      </c>
      <c r="G353" s="310">
        <v>9575.4337278207386</v>
      </c>
      <c r="H353" s="310">
        <v>14765.910442243128</v>
      </c>
      <c r="I353" s="310">
        <v>15747.103645893319</v>
      </c>
      <c r="J353" s="310">
        <v>16317.04015156973</v>
      </c>
      <c r="K353" s="310">
        <v>16831.23261146951</v>
      </c>
      <c r="L353" s="310">
        <v>17363.608479084553</v>
      </c>
      <c r="M353" s="310">
        <v>17949.193017619487</v>
      </c>
      <c r="N353" s="311">
        <v>18522.415715863393</v>
      </c>
      <c r="O353" s="31">
        <v>19348.957394359713</v>
      </c>
      <c r="P353" s="31">
        <v>20219.963916751713</v>
      </c>
      <c r="Q353" s="31">
        <v>21172.516866456514</v>
      </c>
      <c r="R353" s="31">
        <v>22143.262622262951</v>
      </c>
      <c r="S353" s="31">
        <v>23168.814276635756</v>
      </c>
      <c r="T353" s="31">
        <v>23984.8267656975</v>
      </c>
      <c r="U353" s="31">
        <v>24873.254561871814</v>
      </c>
      <c r="V353" s="31">
        <v>25770.052705457616</v>
      </c>
      <c r="W353" s="31">
        <v>26711.094250855931</v>
      </c>
      <c r="X353" s="31">
        <v>27725.960621200393</v>
      </c>
    </row>
    <row r="354" spans="1:24">
      <c r="A354" s="260" t="s">
        <v>32</v>
      </c>
      <c r="B354" s="305">
        <f>NPV(0.1,D354:Y354)</f>
        <v>145055.19085935337</v>
      </c>
      <c r="C354" s="305">
        <f>B354-B344</f>
        <v>-3.8904825167264789</v>
      </c>
      <c r="D354" s="312">
        <v>5369.996093924733</v>
      </c>
      <c r="E354" s="313">
        <v>9530.7681847915374</v>
      </c>
      <c r="F354" s="313">
        <v>9042.7019291215365</v>
      </c>
      <c r="G354" s="313">
        <v>22320.181308729356</v>
      </c>
      <c r="H354" s="313">
        <v>27483.18459103143</v>
      </c>
      <c r="I354" s="313">
        <v>21402.152210413973</v>
      </c>
      <c r="J354" s="313">
        <v>20341.875849295146</v>
      </c>
      <c r="K354" s="313">
        <v>20255.200291767225</v>
      </c>
      <c r="L354" s="313">
        <v>20126.931843376668</v>
      </c>
      <c r="M354" s="313">
        <v>19948.324646890371</v>
      </c>
      <c r="N354" s="314">
        <v>19823.413620738873</v>
      </c>
      <c r="O354" s="31">
        <v>19712.740071113163</v>
      </c>
      <c r="P354" s="31">
        <v>19553.26838416393</v>
      </c>
      <c r="Q354" s="31">
        <v>19335.341950080667</v>
      </c>
      <c r="R354" s="31">
        <v>19161.996771405087</v>
      </c>
      <c r="S354" s="31">
        <v>16197.458044059569</v>
      </c>
      <c r="T354" s="31">
        <v>13098.450416529344</v>
      </c>
      <c r="U354" s="31">
        <v>12616.561156253731</v>
      </c>
      <c r="V354" s="31">
        <v>12184.982023308901</v>
      </c>
      <c r="W354" s="31">
        <v>11646.176511922793</v>
      </c>
      <c r="X354" s="31">
        <v>31942.991996528668</v>
      </c>
    </row>
    <row r="356" spans="1:24">
      <c r="A356" s="29" t="s">
        <v>614</v>
      </c>
    </row>
    <row r="357" spans="1:24">
      <c r="A357" s="261">
        <v>36271</v>
      </c>
    </row>
    <row r="358" spans="1:24">
      <c r="A358" s="254" t="s">
        <v>379</v>
      </c>
      <c r="B358" s="255">
        <v>74647.360786373582</v>
      </c>
      <c r="C358" s="256"/>
      <c r="D358" s="256"/>
      <c r="E358" s="256"/>
      <c r="F358" s="256"/>
      <c r="G358" s="256"/>
      <c r="H358" s="256"/>
      <c r="I358" s="256"/>
      <c r="J358" s="256"/>
      <c r="K358" s="256"/>
      <c r="L358" s="256"/>
      <c r="M358" s="256"/>
      <c r="N358" s="256"/>
      <c r="O358" s="256"/>
      <c r="P358" s="256"/>
      <c r="Q358" s="256"/>
      <c r="R358" s="256"/>
      <c r="S358" s="256"/>
      <c r="T358" s="256"/>
      <c r="U358" s="256"/>
      <c r="V358" s="256"/>
    </row>
    <row r="359" spans="1:24">
      <c r="A359" s="257" t="s">
        <v>380</v>
      </c>
      <c r="B359" s="258">
        <v>119448.60377571094</v>
      </c>
      <c r="C359" s="256"/>
      <c r="D359" s="256"/>
      <c r="E359" s="256"/>
      <c r="F359" s="256"/>
      <c r="G359" s="256"/>
      <c r="H359" s="256"/>
      <c r="I359" s="256"/>
      <c r="J359" s="256"/>
      <c r="K359" s="256"/>
      <c r="L359" s="256"/>
      <c r="M359" s="256"/>
      <c r="N359" s="256"/>
      <c r="O359" s="256"/>
      <c r="P359" s="256"/>
      <c r="Q359" s="256"/>
      <c r="R359" s="256"/>
      <c r="S359" s="256"/>
      <c r="T359" s="256"/>
      <c r="U359" s="256"/>
      <c r="V359" s="256"/>
    </row>
    <row r="360" spans="1:24">
      <c r="A360" s="259" t="s">
        <v>383</v>
      </c>
      <c r="B360" s="304" t="s">
        <v>483</v>
      </c>
      <c r="C360" s="304" t="s">
        <v>484</v>
      </c>
      <c r="D360" s="306">
        <v>2000</v>
      </c>
      <c r="E360" s="307">
        <v>2001</v>
      </c>
      <c r="F360" s="307">
        <v>2002</v>
      </c>
      <c r="G360" s="307">
        <v>2003</v>
      </c>
      <c r="H360" s="307">
        <v>2004</v>
      </c>
      <c r="I360" s="307">
        <v>2005</v>
      </c>
      <c r="J360" s="307">
        <v>2006</v>
      </c>
      <c r="K360" s="307">
        <v>2007</v>
      </c>
      <c r="L360" s="307">
        <v>2008</v>
      </c>
      <c r="M360" s="307">
        <v>2009</v>
      </c>
      <c r="N360" s="308">
        <v>2010</v>
      </c>
      <c r="O360" s="256">
        <v>2011</v>
      </c>
      <c r="P360" s="256">
        <v>2012</v>
      </c>
      <c r="Q360" s="256">
        <v>2013</v>
      </c>
      <c r="R360" s="256">
        <v>2014</v>
      </c>
      <c r="S360" s="256">
        <v>2015</v>
      </c>
      <c r="T360" s="256">
        <v>2016</v>
      </c>
      <c r="U360" s="256">
        <v>2017</v>
      </c>
      <c r="V360" s="256">
        <v>2018</v>
      </c>
      <c r="W360" s="256">
        <v>2019</v>
      </c>
      <c r="X360" s="256">
        <v>2020</v>
      </c>
    </row>
    <row r="361" spans="1:24">
      <c r="A361" s="259" t="s">
        <v>381</v>
      </c>
      <c r="B361" s="305">
        <f>NPV(0.1,D361:Y361)</f>
        <v>592983.33796122263</v>
      </c>
      <c r="C361" s="305">
        <f>B361-B351</f>
        <v>-757.21048253856134</v>
      </c>
      <c r="D361" s="309">
        <v>41976.2212</v>
      </c>
      <c r="E361" s="310">
        <v>54211.262468000001</v>
      </c>
      <c r="F361" s="310">
        <v>54288.554974040002</v>
      </c>
      <c r="G361" s="310">
        <v>64737.228851460357</v>
      </c>
      <c r="H361" s="310">
        <v>73326.409346700078</v>
      </c>
      <c r="I361" s="310">
        <v>74535.3554207938</v>
      </c>
      <c r="J361" s="310">
        <v>75117.369325048145</v>
      </c>
      <c r="K361" s="310">
        <v>75687.42800471904</v>
      </c>
      <c r="L361" s="310">
        <v>76244.290333817626</v>
      </c>
      <c r="M361" s="310">
        <v>76786.651478497894</v>
      </c>
      <c r="N361" s="311">
        <v>77313.140191598533</v>
      </c>
      <c r="O361" s="31">
        <v>78201.213677911888</v>
      </c>
      <c r="P361" s="31">
        <v>79093.195508271601</v>
      </c>
      <c r="Q361" s="31">
        <v>79988.520917182788</v>
      </c>
      <c r="R361" s="31">
        <v>80886.587735711175</v>
      </c>
      <c r="S361" s="31">
        <v>81786.75465556579</v>
      </c>
      <c r="T361" s="31">
        <v>82249.093170417953</v>
      </c>
      <c r="U361" s="31">
        <v>82685.769678011231</v>
      </c>
      <c r="V361" s="31">
        <v>83094.828353246747</v>
      </c>
      <c r="W361" s="31">
        <v>83474.219117326182</v>
      </c>
      <c r="X361" s="31">
        <v>83821.793742772454</v>
      </c>
    </row>
    <row r="362" spans="1:24">
      <c r="A362" s="260" t="s">
        <v>382</v>
      </c>
      <c r="B362" s="305">
        <f>NPV(0.1,D362:Y362)</f>
        <v>248967.87075311472</v>
      </c>
      <c r="C362" s="305">
        <f>B362-B352</f>
        <v>-757.21048253847403</v>
      </c>
      <c r="D362" s="309">
        <v>26448.52165130197</v>
      </c>
      <c r="E362" s="310">
        <v>27990.368198873948</v>
      </c>
      <c r="F362" s="310">
        <v>28140.983130797002</v>
      </c>
      <c r="G362" s="310">
        <v>28296.116510677737</v>
      </c>
      <c r="H362" s="310">
        <v>28455.903891954895</v>
      </c>
      <c r="I362" s="310">
        <v>28564.959824664111</v>
      </c>
      <c r="J362" s="310">
        <v>28734.478257461051</v>
      </c>
      <c r="K362" s="310">
        <v>28909.082243241894</v>
      </c>
      <c r="L362" s="310">
        <v>29088.924348596167</v>
      </c>
      <c r="M362" s="310">
        <v>29218.63664710481</v>
      </c>
      <c r="N362" s="311">
        <v>29409.431136675154</v>
      </c>
      <c r="O362" s="31">
        <v>29605.94946093261</v>
      </c>
      <c r="P362" s="31">
        <v>29808.363334917791</v>
      </c>
      <c r="Q362" s="31">
        <v>29961.324555116273</v>
      </c>
      <c r="R362" s="31">
        <v>30176.06543402715</v>
      </c>
      <c r="S362" s="31">
        <v>30397.248539305354</v>
      </c>
      <c r="T362" s="31">
        <v>30625.067137741906</v>
      </c>
      <c r="U362" s="31">
        <v>30804.195224125295</v>
      </c>
      <c r="V362" s="31">
        <v>31045.887975206631</v>
      </c>
      <c r="W362" s="31">
        <v>31294.831508820407</v>
      </c>
      <c r="X362" s="31">
        <v>31551.2433484426</v>
      </c>
    </row>
    <row r="363" spans="1:24">
      <c r="A363" s="260" t="s">
        <v>35</v>
      </c>
      <c r="B363" s="305">
        <f>NPV(0.1,D363:Y363)</f>
        <v>117215.35243820734</v>
      </c>
      <c r="C363" s="305">
        <f>B363-B353</f>
        <v>0</v>
      </c>
      <c r="D363" s="309">
        <v>1849.9965916284525</v>
      </c>
      <c r="E363" s="310">
        <v>3019.7558956842113</v>
      </c>
      <c r="F363" s="310">
        <v>3126.4561467535668</v>
      </c>
      <c r="G363" s="310">
        <v>9575.4337278207386</v>
      </c>
      <c r="H363" s="310">
        <v>14765.910442243128</v>
      </c>
      <c r="I363" s="310">
        <v>15747.10364589331</v>
      </c>
      <c r="J363" s="310">
        <v>16317.04015156973</v>
      </c>
      <c r="K363" s="310">
        <v>16831.23261146951</v>
      </c>
      <c r="L363" s="310">
        <v>17363.608479084556</v>
      </c>
      <c r="M363" s="310">
        <v>17949.193017619495</v>
      </c>
      <c r="N363" s="311">
        <v>18522.41571586339</v>
      </c>
      <c r="O363" s="31">
        <v>19348.95739435971</v>
      </c>
      <c r="P363" s="31">
        <v>20219.963916751709</v>
      </c>
      <c r="Q363" s="31">
        <v>21172.516866456521</v>
      </c>
      <c r="R363" s="31">
        <v>22143.262622262948</v>
      </c>
      <c r="S363" s="31">
        <v>23168.814276635763</v>
      </c>
      <c r="T363" s="31">
        <v>23984.826765697508</v>
      </c>
      <c r="U363" s="31">
        <v>24873.254561871814</v>
      </c>
      <c r="V363" s="31">
        <v>25770.052705457623</v>
      </c>
      <c r="W363" s="31">
        <v>26711.094250855931</v>
      </c>
      <c r="X363" s="31">
        <v>27725.960621200393</v>
      </c>
    </row>
    <row r="364" spans="1:24">
      <c r="A364" s="260" t="s">
        <v>32</v>
      </c>
      <c r="B364" s="305">
        <f>NPV(0.1,D364:Y364)</f>
        <v>145055.19085935337</v>
      </c>
      <c r="C364" s="305">
        <f>B364-B354</f>
        <v>0</v>
      </c>
      <c r="D364" s="312">
        <v>5369.9960939247349</v>
      </c>
      <c r="E364" s="313">
        <v>9530.768184791541</v>
      </c>
      <c r="F364" s="313">
        <v>9042.7019291215402</v>
      </c>
      <c r="G364" s="313">
        <v>22320.181308729356</v>
      </c>
      <c r="H364" s="313">
        <v>27483.18459103143</v>
      </c>
      <c r="I364" s="313">
        <v>21402.152210413966</v>
      </c>
      <c r="J364" s="313">
        <v>20341.875849295146</v>
      </c>
      <c r="K364" s="313">
        <v>20255.200291767225</v>
      </c>
      <c r="L364" s="313">
        <v>20126.931843376668</v>
      </c>
      <c r="M364" s="313">
        <v>19948.324646890374</v>
      </c>
      <c r="N364" s="314">
        <v>19823.413620738869</v>
      </c>
      <c r="O364" s="31">
        <v>19712.740071113163</v>
      </c>
      <c r="P364" s="31">
        <v>19553.26838416393</v>
      </c>
      <c r="Q364" s="31">
        <v>19335.341950080678</v>
      </c>
      <c r="R364" s="31">
        <v>19161.996771405094</v>
      </c>
      <c r="S364" s="31">
        <v>16197.458044059567</v>
      </c>
      <c r="T364" s="31">
        <v>13098.450416529351</v>
      </c>
      <c r="U364" s="31">
        <v>12616.561156253731</v>
      </c>
      <c r="V364" s="31">
        <v>12184.982023308909</v>
      </c>
      <c r="W364" s="31">
        <v>11646.176511922793</v>
      </c>
      <c r="X364" s="31">
        <v>31942.991996528668</v>
      </c>
    </row>
    <row r="366" spans="1:24">
      <c r="A366" s="29" t="s">
        <v>615</v>
      </c>
    </row>
    <row r="367" spans="1:24">
      <c r="A367" s="261">
        <v>36271</v>
      </c>
    </row>
    <row r="368" spans="1:24">
      <c r="A368" s="254" t="s">
        <v>379</v>
      </c>
      <c r="B368" s="255">
        <v>74303.497227108557</v>
      </c>
      <c r="C368" s="256"/>
      <c r="D368" s="256"/>
      <c r="E368" s="256"/>
      <c r="F368" s="256"/>
      <c r="G368" s="256"/>
      <c r="H368" s="256"/>
      <c r="I368" s="256"/>
      <c r="J368" s="256"/>
      <c r="K368" s="256"/>
      <c r="L368" s="256"/>
      <c r="M368" s="256"/>
      <c r="N368" s="256"/>
      <c r="O368" s="256"/>
      <c r="P368" s="256"/>
      <c r="Q368" s="256"/>
      <c r="R368" s="256"/>
      <c r="S368" s="256"/>
      <c r="T368" s="256"/>
      <c r="U368" s="256"/>
      <c r="V368" s="256"/>
    </row>
    <row r="369" spans="1:24">
      <c r="A369" s="257" t="s">
        <v>380</v>
      </c>
      <c r="B369" s="258">
        <v>119009.70424637335</v>
      </c>
      <c r="C369" s="256"/>
      <c r="D369" s="256"/>
      <c r="E369" s="256"/>
      <c r="F369" s="256"/>
      <c r="G369" s="256"/>
      <c r="H369" s="256"/>
      <c r="I369" s="256"/>
      <c r="J369" s="256"/>
      <c r="K369" s="256"/>
      <c r="L369" s="256"/>
      <c r="M369" s="256"/>
      <c r="N369" s="256"/>
      <c r="O369" s="256"/>
      <c r="P369" s="256"/>
      <c r="Q369" s="256"/>
      <c r="R369" s="256"/>
      <c r="S369" s="256"/>
      <c r="T369" s="256"/>
      <c r="U369" s="256"/>
      <c r="V369" s="256"/>
    </row>
    <row r="370" spans="1:24">
      <c r="A370" s="259" t="s">
        <v>383</v>
      </c>
      <c r="B370" s="304" t="s">
        <v>483</v>
      </c>
      <c r="C370" s="304" t="s">
        <v>484</v>
      </c>
      <c r="D370" s="306">
        <v>2000</v>
      </c>
      <c r="E370" s="307">
        <v>2001</v>
      </c>
      <c r="F370" s="307">
        <v>2002</v>
      </c>
      <c r="G370" s="307">
        <v>2003</v>
      </c>
      <c r="H370" s="307">
        <v>2004</v>
      </c>
      <c r="I370" s="307">
        <v>2005</v>
      </c>
      <c r="J370" s="307">
        <v>2006</v>
      </c>
      <c r="K370" s="307">
        <v>2007</v>
      </c>
      <c r="L370" s="307">
        <v>2008</v>
      </c>
      <c r="M370" s="307">
        <v>2009</v>
      </c>
      <c r="N370" s="308">
        <v>2010</v>
      </c>
      <c r="O370" s="256">
        <v>2011</v>
      </c>
      <c r="P370" s="256">
        <v>2012</v>
      </c>
      <c r="Q370" s="256">
        <v>2013</v>
      </c>
      <c r="R370" s="256">
        <v>2014</v>
      </c>
      <c r="S370" s="256">
        <v>2015</v>
      </c>
      <c r="T370" s="256">
        <v>2016</v>
      </c>
      <c r="U370" s="256">
        <v>2017</v>
      </c>
      <c r="V370" s="256">
        <v>2018</v>
      </c>
      <c r="W370" s="256">
        <v>2019</v>
      </c>
      <c r="X370" s="256">
        <v>2020</v>
      </c>
    </row>
    <row r="371" spans="1:24">
      <c r="A371" s="259" t="s">
        <v>381</v>
      </c>
      <c r="B371" s="305">
        <f>NPV(0.1,D371:Y371)</f>
        <v>589760.68468849547</v>
      </c>
      <c r="C371" s="305">
        <f>B371-B361</f>
        <v>-3222.6532727271551</v>
      </c>
      <c r="D371" s="309">
        <v>39544.2212</v>
      </c>
      <c r="E371" s="310">
        <v>54211.262468000001</v>
      </c>
      <c r="F371" s="310">
        <v>54288.554974040002</v>
      </c>
      <c r="G371" s="310">
        <v>63255.934194860478</v>
      </c>
      <c r="H371" s="310">
        <v>73326.409346700078</v>
      </c>
      <c r="I371" s="310">
        <v>74535.3554207938</v>
      </c>
      <c r="J371" s="310">
        <v>75117.369325048145</v>
      </c>
      <c r="K371" s="310">
        <v>75687.42800471904</v>
      </c>
      <c r="L371" s="310">
        <v>76244.290333817626</v>
      </c>
      <c r="M371" s="310">
        <v>76786.651478497894</v>
      </c>
      <c r="N371" s="311">
        <v>77313.140191598533</v>
      </c>
      <c r="O371" s="31">
        <v>78201.213677911888</v>
      </c>
      <c r="P371" s="31">
        <v>79093.195508271601</v>
      </c>
      <c r="Q371" s="31">
        <v>79988.520917182788</v>
      </c>
      <c r="R371" s="31">
        <v>80886.587735711175</v>
      </c>
      <c r="S371" s="31">
        <v>81786.75465556579</v>
      </c>
      <c r="T371" s="31">
        <v>82249.093170417953</v>
      </c>
      <c r="U371" s="31">
        <v>82685.769678011231</v>
      </c>
      <c r="V371" s="31">
        <v>83094.828353246747</v>
      </c>
      <c r="W371" s="31">
        <v>83474.219117326182</v>
      </c>
      <c r="X371" s="31">
        <v>83821.793742772454</v>
      </c>
    </row>
    <row r="372" spans="1:24">
      <c r="A372" s="260" t="s">
        <v>382</v>
      </c>
      <c r="B372" s="305">
        <f>NPV(0.1,D372:Y372)</f>
        <v>248799.85433287415</v>
      </c>
      <c r="C372" s="305">
        <f>B372-B362</f>
        <v>-168.01642024057219</v>
      </c>
      <c r="D372" s="309">
        <v>26257.415961413801</v>
      </c>
      <c r="E372" s="310">
        <v>27991.106741255309</v>
      </c>
      <c r="F372" s="310">
        <v>28141.721673178363</v>
      </c>
      <c r="G372" s="310">
        <v>28296.855053059098</v>
      </c>
      <c r="H372" s="310">
        <v>28456.642434336256</v>
      </c>
      <c r="I372" s="310">
        <v>28565.698367045472</v>
      </c>
      <c r="J372" s="310">
        <v>28735.216799842412</v>
      </c>
      <c r="K372" s="310">
        <v>28909.820785623255</v>
      </c>
      <c r="L372" s="310">
        <v>29089.662890977528</v>
      </c>
      <c r="M372" s="310">
        <v>29219.375189486171</v>
      </c>
      <c r="N372" s="311">
        <v>29410.169679056515</v>
      </c>
      <c r="O372" s="31">
        <v>29606.688003313971</v>
      </c>
      <c r="P372" s="31">
        <v>29809.101877299152</v>
      </c>
      <c r="Q372" s="31">
        <v>29962.063097497634</v>
      </c>
      <c r="R372" s="31">
        <v>30176.803976408512</v>
      </c>
      <c r="S372" s="31">
        <v>30397.987081686715</v>
      </c>
      <c r="T372" s="31">
        <v>30625.805680123267</v>
      </c>
      <c r="U372" s="31">
        <v>30804.933766506656</v>
      </c>
      <c r="V372" s="31">
        <v>31046.626517587993</v>
      </c>
      <c r="W372" s="31">
        <v>31295.570051201768</v>
      </c>
      <c r="X372" s="31">
        <v>31551.981890823961</v>
      </c>
    </row>
    <row r="373" spans="1:24">
      <c r="A373" s="260" t="s">
        <v>35</v>
      </c>
      <c r="B373" s="305">
        <f>NPV(0.1,D373:Y373)</f>
        <v>116404.53389425107</v>
      </c>
      <c r="C373" s="305">
        <f>B373-B363</f>
        <v>-810.81854395626578</v>
      </c>
      <c r="D373" s="309">
        <v>1589.556391646493</v>
      </c>
      <c r="E373" s="310">
        <v>3042.2660063023795</v>
      </c>
      <c r="F373" s="310">
        <v>3150.722733544912</v>
      </c>
      <c r="G373" s="310">
        <v>8696.7120437076992</v>
      </c>
      <c r="H373" s="310">
        <v>14765.58549678915</v>
      </c>
      <c r="I373" s="310">
        <v>15732.194063456991</v>
      </c>
      <c r="J373" s="310">
        <v>16316.706549192479</v>
      </c>
      <c r="K373" s="310">
        <v>16830.894154556048</v>
      </c>
      <c r="L373" s="310">
        <v>17363.264779271987</v>
      </c>
      <c r="M373" s="310">
        <v>17948.843655475903</v>
      </c>
      <c r="N373" s="311">
        <v>18522.060238402271</v>
      </c>
      <c r="O373" s="31">
        <v>19348.595312355676</v>
      </c>
      <c r="P373" s="31">
        <v>20219.594701841328</v>
      </c>
      <c r="Q373" s="31">
        <v>21172.13994800728</v>
      </c>
      <c r="R373" s="31">
        <v>22142.877383991741</v>
      </c>
      <c r="S373" s="31">
        <v>23168.420052956826</v>
      </c>
      <c r="T373" s="31">
        <v>23984.422837778235</v>
      </c>
      <c r="U373" s="31">
        <v>24872.84015337297</v>
      </c>
      <c r="V373" s="31">
        <v>25769.626977932843</v>
      </c>
      <c r="W373" s="31">
        <v>26710.656298783153</v>
      </c>
      <c r="X373" s="31">
        <v>27721.738654115758</v>
      </c>
    </row>
    <row r="374" spans="1:24">
      <c r="A374" s="260" t="s">
        <v>32</v>
      </c>
      <c r="B374" s="305">
        <f>NPV(0.1,D374:Y374)</f>
        <v>144269.63707518295</v>
      </c>
      <c r="C374" s="305">
        <f>B374-B364</f>
        <v>-785.55378417042084</v>
      </c>
      <c r="D374" s="312">
        <v>4595.0201450110617</v>
      </c>
      <c r="E374" s="313">
        <v>9530.5127722179859</v>
      </c>
      <c r="F374" s="313">
        <v>9042.4465165479851</v>
      </c>
      <c r="G374" s="313">
        <v>21412.435974353342</v>
      </c>
      <c r="H374" s="313">
        <v>27482.732233822837</v>
      </c>
      <c r="I374" s="313">
        <v>22359.258740867856</v>
      </c>
      <c r="J374" s="313">
        <v>20341.642824881201</v>
      </c>
      <c r="K374" s="313">
        <v>20254.97045905413</v>
      </c>
      <c r="L374" s="313">
        <v>20126.705457700493</v>
      </c>
      <c r="M374" s="313">
        <v>19948.101984014076</v>
      </c>
      <c r="N374" s="314">
        <v>19823.194978486445</v>
      </c>
      <c r="O374" s="31">
        <v>19712.525771134518</v>
      </c>
      <c r="P374" s="31">
        <v>19553.058773840959</v>
      </c>
      <c r="Q374" s="31">
        <v>19335.13740458585</v>
      </c>
      <c r="R374" s="31">
        <v>19161.797695924637</v>
      </c>
      <c r="S374" s="31">
        <v>16197.264876194664</v>
      </c>
      <c r="T374" s="31">
        <v>13098.263628889221</v>
      </c>
      <c r="U374" s="31">
        <v>12616.381259256359</v>
      </c>
      <c r="V374" s="31">
        <v>12184.809568205721</v>
      </c>
      <c r="W374" s="31">
        <v>11646.012094065336</v>
      </c>
      <c r="X374" s="31">
        <v>31945.020029444033</v>
      </c>
    </row>
    <row r="376" spans="1:24">
      <c r="A376" s="29" t="s">
        <v>618</v>
      </c>
    </row>
    <row r="377" spans="1:24">
      <c r="A377" s="261">
        <v>36284</v>
      </c>
    </row>
    <row r="378" spans="1:24">
      <c r="A378" s="254" t="s">
        <v>379</v>
      </c>
      <c r="B378" s="255">
        <v>69489.255089777987</v>
      </c>
      <c r="C378" s="256"/>
      <c r="D378" s="256"/>
      <c r="E378" s="256"/>
      <c r="F378" s="256"/>
      <c r="G378" s="256"/>
      <c r="H378" s="256"/>
      <c r="I378" s="256"/>
      <c r="J378" s="256"/>
      <c r="K378" s="256"/>
      <c r="L378" s="256"/>
      <c r="M378" s="256"/>
      <c r="N378" s="256"/>
      <c r="O378" s="256"/>
      <c r="P378" s="256"/>
      <c r="Q378" s="256"/>
      <c r="R378" s="256"/>
      <c r="S378" s="256"/>
      <c r="T378" s="256"/>
      <c r="U378" s="256"/>
      <c r="V378" s="256"/>
    </row>
    <row r="379" spans="1:24">
      <c r="A379" s="257" t="s">
        <v>380</v>
      </c>
      <c r="B379" s="258">
        <v>112740.29781579053</v>
      </c>
      <c r="C379" s="256"/>
      <c r="D379" s="256"/>
      <c r="E379" s="256"/>
      <c r="F379" s="256"/>
      <c r="G379" s="256"/>
      <c r="H379" s="256"/>
      <c r="I379" s="256"/>
      <c r="J379" s="256"/>
      <c r="K379" s="256"/>
      <c r="L379" s="256"/>
      <c r="M379" s="256"/>
      <c r="N379" s="256"/>
      <c r="O379" s="256"/>
      <c r="P379" s="256"/>
      <c r="Q379" s="256"/>
      <c r="R379" s="256"/>
      <c r="S379" s="256"/>
      <c r="T379" s="256"/>
      <c r="U379" s="256"/>
      <c r="V379" s="256"/>
    </row>
    <row r="380" spans="1:24">
      <c r="A380" s="259" t="s">
        <v>383</v>
      </c>
      <c r="B380" s="304" t="s">
        <v>483</v>
      </c>
      <c r="C380" s="304" t="s">
        <v>484</v>
      </c>
      <c r="D380" s="306">
        <v>2000</v>
      </c>
      <c r="E380" s="307">
        <v>2001</v>
      </c>
      <c r="F380" s="307">
        <v>2002</v>
      </c>
      <c r="G380" s="307">
        <v>2003</v>
      </c>
      <c r="H380" s="307">
        <v>2004</v>
      </c>
      <c r="I380" s="307">
        <v>2005</v>
      </c>
      <c r="J380" s="307">
        <v>2006</v>
      </c>
      <c r="K380" s="307">
        <v>2007</v>
      </c>
      <c r="L380" s="307">
        <v>2008</v>
      </c>
      <c r="M380" s="307">
        <v>2009</v>
      </c>
      <c r="N380" s="308">
        <v>2010</v>
      </c>
      <c r="O380" s="256">
        <v>2011</v>
      </c>
      <c r="P380" s="256">
        <v>2012</v>
      </c>
      <c r="Q380" s="256">
        <v>2013</v>
      </c>
      <c r="R380" s="256">
        <v>2014</v>
      </c>
      <c r="S380" s="256">
        <v>2015</v>
      </c>
      <c r="T380" s="256">
        <v>2016</v>
      </c>
      <c r="U380" s="256">
        <v>2017</v>
      </c>
      <c r="V380" s="256">
        <v>2018</v>
      </c>
      <c r="W380" s="256">
        <v>2019</v>
      </c>
      <c r="X380" s="256">
        <v>2020</v>
      </c>
    </row>
    <row r="381" spans="1:24">
      <c r="A381" s="259" t="s">
        <v>381</v>
      </c>
      <c r="B381" s="305">
        <f>NPV(0.1,D381:Y381)</f>
        <v>581187.29907102615</v>
      </c>
      <c r="C381" s="305">
        <f>B381-B371</f>
        <v>-8573.385617469321</v>
      </c>
      <c r="D381" s="309">
        <v>39544.2212</v>
      </c>
      <c r="E381" s="310">
        <v>54211.262468000001</v>
      </c>
      <c r="F381" s="310">
        <v>54288.554974040002</v>
      </c>
      <c r="G381" s="310">
        <v>62649.744142607291</v>
      </c>
      <c r="H381" s="310">
        <v>71913.834640378642</v>
      </c>
      <c r="I381" s="310">
        <v>73099.853141248881</v>
      </c>
      <c r="J381" s="310">
        <v>73671.515656124262</v>
      </c>
      <c r="K381" s="310">
        <v>74231.500717569041</v>
      </c>
      <c r="L381" s="310">
        <v>74778.593182113982</v>
      </c>
      <c r="M381" s="310">
        <v>75311.51550738985</v>
      </c>
      <c r="N381" s="311">
        <v>75828.925101822344</v>
      </c>
      <c r="O381" s="31">
        <v>76700.73129367111</v>
      </c>
      <c r="P381" s="31">
        <v>77576.412487943133</v>
      </c>
      <c r="Q381" s="31">
        <v>78455.416559211197</v>
      </c>
      <c r="R381" s="31">
        <v>79337.154767020169</v>
      </c>
      <c r="S381" s="31">
        <v>80221.000055898403</v>
      </c>
      <c r="T381" s="31">
        <v>80675.823959096844</v>
      </c>
      <c r="U381" s="31">
        <v>81105.551059940859</v>
      </c>
      <c r="V381" s="31">
        <v>81508.266208776375</v>
      </c>
      <c r="W381" s="31">
        <v>81881.961934092062</v>
      </c>
      <c r="X381" s="31">
        <v>82224.534626842767</v>
      </c>
    </row>
    <row r="382" spans="1:24">
      <c r="A382" s="260" t="s">
        <v>382</v>
      </c>
      <c r="B382" s="305">
        <f>NPV(0.1,D382:Y382)</f>
        <v>246284.80567258928</v>
      </c>
      <c r="C382" s="305">
        <f>B382-B372</f>
        <v>-2515.0486602848687</v>
      </c>
      <c r="D382" s="309">
        <v>26261.886124140176</v>
      </c>
      <c r="E382" s="310">
        <v>27994.086849739557</v>
      </c>
      <c r="F382" s="310">
        <v>28144.70178166261</v>
      </c>
      <c r="G382" s="310">
        <v>28081.447641543342</v>
      </c>
      <c r="H382" s="310">
        <v>28022.847502820503</v>
      </c>
      <c r="I382" s="310">
        <v>28131.903435529719</v>
      </c>
      <c r="J382" s="310">
        <v>28301.421868326659</v>
      </c>
      <c r="K382" s="310">
        <v>28476.025854107502</v>
      </c>
      <c r="L382" s="310">
        <v>28655.867959461775</v>
      </c>
      <c r="M382" s="310">
        <v>28785.580257970418</v>
      </c>
      <c r="N382" s="311">
        <v>28976.374747540762</v>
      </c>
      <c r="O382" s="31">
        <v>29172.893071798218</v>
      </c>
      <c r="P382" s="31">
        <v>29375.306945783399</v>
      </c>
      <c r="Q382" s="31">
        <v>29528.268165981881</v>
      </c>
      <c r="R382" s="31">
        <v>29743.009044892759</v>
      </c>
      <c r="S382" s="31">
        <v>29964.192150170962</v>
      </c>
      <c r="T382" s="31">
        <v>30192.010748607514</v>
      </c>
      <c r="U382" s="31">
        <v>30371.138834990903</v>
      </c>
      <c r="V382" s="31">
        <v>30612.83158607224</v>
      </c>
      <c r="W382" s="31">
        <v>30861.775119686015</v>
      </c>
      <c r="X382" s="31">
        <v>31118.186959308208</v>
      </c>
    </row>
    <row r="383" spans="1:24">
      <c r="A383" s="260" t="s">
        <v>35</v>
      </c>
      <c r="B383" s="305">
        <f>NPV(0.1,D383:Y383)</f>
        <v>113873.4292811084</v>
      </c>
      <c r="C383" s="305">
        <f>B383-B373</f>
        <v>-2531.1046131426701</v>
      </c>
      <c r="D383" s="309">
        <v>1659.2205926898869</v>
      </c>
      <c r="E383" s="310">
        <v>3190.7065961654889</v>
      </c>
      <c r="F383" s="310">
        <v>3310.7156589694514</v>
      </c>
      <c r="G383" s="310">
        <v>8632.2550476430551</v>
      </c>
      <c r="H383" s="310">
        <v>14348.333949896898</v>
      </c>
      <c r="I383" s="310">
        <v>15296.492421776164</v>
      </c>
      <c r="J383" s="310">
        <v>15869.439050746285</v>
      </c>
      <c r="K383" s="310">
        <v>16371.611233202721</v>
      </c>
      <c r="L383" s="310">
        <v>16891.488563766601</v>
      </c>
      <c r="M383" s="310">
        <v>17464.065736541219</v>
      </c>
      <c r="N383" s="311">
        <v>18023.739252159892</v>
      </c>
      <c r="O383" s="31">
        <v>18831.525168320048</v>
      </c>
      <c r="P383" s="31">
        <v>19682.736012729205</v>
      </c>
      <c r="Q383" s="31">
        <v>20614.378882695502</v>
      </c>
      <c r="R383" s="31">
        <v>21563.019819947775</v>
      </c>
      <c r="S383" s="31">
        <v>22565.185259503633</v>
      </c>
      <c r="T383" s="31">
        <v>23361.803113919341</v>
      </c>
      <c r="U383" s="31">
        <v>24229.852128056165</v>
      </c>
      <c r="V383" s="31">
        <v>25105.216748648141</v>
      </c>
      <c r="W383" s="31">
        <v>26023.69376665862</v>
      </c>
      <c r="X383" s="31">
        <v>27011.011397153521</v>
      </c>
    </row>
    <row r="384" spans="1:24">
      <c r="A384" s="260" t="s">
        <v>32</v>
      </c>
      <c r="B384" s="305">
        <f>NPV(0.1,D384:Y384)</f>
        <v>142202.97138262622</v>
      </c>
      <c r="C384" s="305">
        <f>B384-B374</f>
        <v>-2066.6656925567368</v>
      </c>
      <c r="D384" s="312">
        <v>4593.4742137348567</v>
      </c>
      <c r="E384" s="313">
        <v>9529.482151367185</v>
      </c>
      <c r="F384" s="313">
        <v>9041.4158956971842</v>
      </c>
      <c r="G384" s="313">
        <v>21173.081606901669</v>
      </c>
      <c r="H384" s="313">
        <v>26883.229621754363</v>
      </c>
      <c r="I384" s="313">
        <v>22100.293529545299</v>
      </c>
      <c r="J384" s="313">
        <v>20015.820791017268</v>
      </c>
      <c r="K384" s="313">
        <v>19930.8780867401</v>
      </c>
      <c r="L384" s="313">
        <v>19804.84298097901</v>
      </c>
      <c r="M384" s="313">
        <v>19629.006430727768</v>
      </c>
      <c r="N384" s="314">
        <v>19507.442594611559</v>
      </c>
      <c r="O384" s="31">
        <v>19399.13663544161</v>
      </c>
      <c r="P384" s="31">
        <v>19242.695828174066</v>
      </c>
      <c r="Q384" s="31">
        <v>19028.520277252173</v>
      </c>
      <c r="R384" s="31">
        <v>18859.707029184792</v>
      </c>
      <c r="S384" s="31">
        <v>15900.546984220458</v>
      </c>
      <c r="T384" s="31">
        <v>12809.688003289117</v>
      </c>
      <c r="U384" s="31">
        <v>12336.940622758768</v>
      </c>
      <c r="V384" s="31">
        <v>11915.567929405759</v>
      </c>
      <c r="W384" s="31">
        <v>11388.109655169825</v>
      </c>
      <c r="X384" s="31">
        <v>31234.2927724818</v>
      </c>
    </row>
    <row r="386" spans="1:24">
      <c r="A386" s="29" t="s">
        <v>622</v>
      </c>
    </row>
    <row r="387" spans="1:24">
      <c r="A387" s="261">
        <v>36284</v>
      </c>
    </row>
    <row r="388" spans="1:24">
      <c r="A388" s="254" t="s">
        <v>379</v>
      </c>
      <c r="B388" s="255">
        <v>66280.679928561542</v>
      </c>
      <c r="C388" s="256"/>
      <c r="D388" s="256"/>
      <c r="E388" s="256"/>
      <c r="F388" s="256"/>
      <c r="G388" s="256"/>
      <c r="H388" s="256"/>
      <c r="I388" s="256"/>
      <c r="J388" s="256"/>
      <c r="K388" s="256"/>
      <c r="L388" s="256"/>
      <c r="M388" s="256"/>
      <c r="N388" s="256"/>
      <c r="O388" s="256"/>
      <c r="P388" s="256"/>
      <c r="Q388" s="256"/>
      <c r="R388" s="256"/>
      <c r="S388" s="256"/>
      <c r="T388" s="256"/>
      <c r="U388" s="256"/>
      <c r="V388" s="256"/>
    </row>
    <row r="389" spans="1:24">
      <c r="A389" s="257" t="s">
        <v>380</v>
      </c>
      <c r="B389" s="258">
        <v>108586.32458227599</v>
      </c>
      <c r="C389" s="256"/>
      <c r="D389" s="256"/>
      <c r="E389" s="256"/>
      <c r="F389" s="256"/>
      <c r="G389" s="256"/>
      <c r="H389" s="256"/>
      <c r="I389" s="256"/>
      <c r="J389" s="256"/>
      <c r="K389" s="256"/>
      <c r="L389" s="256"/>
      <c r="M389" s="256"/>
      <c r="N389" s="256"/>
      <c r="O389" s="256"/>
      <c r="P389" s="256"/>
      <c r="Q389" s="256"/>
      <c r="R389" s="256"/>
      <c r="S389" s="256"/>
      <c r="T389" s="256"/>
      <c r="U389" s="256"/>
      <c r="V389" s="256"/>
    </row>
    <row r="390" spans="1:24">
      <c r="A390" s="259" t="s">
        <v>383</v>
      </c>
      <c r="B390" s="304" t="s">
        <v>483</v>
      </c>
      <c r="C390" s="304" t="s">
        <v>484</v>
      </c>
      <c r="D390" s="306">
        <v>2000</v>
      </c>
      <c r="E390" s="307">
        <v>2001</v>
      </c>
      <c r="F390" s="307">
        <v>2002</v>
      </c>
      <c r="G390" s="307">
        <v>2003</v>
      </c>
      <c r="H390" s="307">
        <v>2004</v>
      </c>
      <c r="I390" s="307">
        <v>2005</v>
      </c>
      <c r="J390" s="307">
        <v>2006</v>
      </c>
      <c r="K390" s="307">
        <v>2007</v>
      </c>
      <c r="L390" s="307">
        <v>2008</v>
      </c>
      <c r="M390" s="307">
        <v>2009</v>
      </c>
      <c r="N390" s="308">
        <v>2010</v>
      </c>
      <c r="O390" s="256">
        <v>2011</v>
      </c>
      <c r="P390" s="256">
        <v>2012</v>
      </c>
      <c r="Q390" s="256">
        <v>2013</v>
      </c>
      <c r="R390" s="256">
        <v>2014</v>
      </c>
      <c r="S390" s="256">
        <v>2015</v>
      </c>
      <c r="T390" s="256">
        <v>2016</v>
      </c>
      <c r="U390" s="256">
        <v>2017</v>
      </c>
      <c r="V390" s="256">
        <v>2018</v>
      </c>
      <c r="W390" s="256">
        <v>2019</v>
      </c>
      <c r="X390" s="256">
        <v>2020</v>
      </c>
    </row>
    <row r="391" spans="1:24">
      <c r="A391" s="259" t="s">
        <v>381</v>
      </c>
      <c r="B391" s="305">
        <f>NPV(0.1,D391:Y391)</f>
        <v>581187.29907102615</v>
      </c>
      <c r="C391" s="305">
        <f>B391-B381</f>
        <v>0</v>
      </c>
      <c r="D391" s="309">
        <v>39544.2212</v>
      </c>
      <c r="E391" s="310">
        <v>54211.262468000001</v>
      </c>
      <c r="F391" s="310">
        <v>54288.554974040002</v>
      </c>
      <c r="G391" s="310">
        <v>62649.744142607291</v>
      </c>
      <c r="H391" s="310">
        <v>71913.834640378642</v>
      </c>
      <c r="I391" s="310">
        <v>73099.853141248881</v>
      </c>
      <c r="J391" s="310">
        <v>73671.515656124262</v>
      </c>
      <c r="K391" s="310">
        <v>74231.500717569041</v>
      </c>
      <c r="L391" s="310">
        <v>74778.593182113982</v>
      </c>
      <c r="M391" s="310">
        <v>75311.51550738985</v>
      </c>
      <c r="N391" s="311">
        <v>75828.925101822344</v>
      </c>
      <c r="O391" s="31">
        <v>76700.73129367111</v>
      </c>
      <c r="P391" s="31">
        <v>77576.412487943133</v>
      </c>
      <c r="Q391" s="31">
        <v>78455.416559211197</v>
      </c>
      <c r="R391" s="31">
        <v>79337.154767020169</v>
      </c>
      <c r="S391" s="31">
        <v>80221.000055898403</v>
      </c>
      <c r="T391" s="31">
        <v>80675.823959096844</v>
      </c>
      <c r="U391" s="31">
        <v>81105.551059940859</v>
      </c>
      <c r="V391" s="31">
        <v>81508.266208776375</v>
      </c>
      <c r="W391" s="31">
        <v>81881.961934092062</v>
      </c>
      <c r="X391" s="31">
        <v>82224.534626842767</v>
      </c>
    </row>
    <row r="392" spans="1:24">
      <c r="A392" s="260" t="s">
        <v>382</v>
      </c>
      <c r="B392" s="305">
        <f>NPV(0.1,D392:Y392)</f>
        <v>250305.29401045761</v>
      </c>
      <c r="C392" s="305">
        <f>B392-B382</f>
        <v>4020.4883378683298</v>
      </c>
      <c r="D392" s="309">
        <v>26264.853106943403</v>
      </c>
      <c r="E392" s="310">
        <v>27996.064838275044</v>
      </c>
      <c r="F392" s="310">
        <v>28146.679770198098</v>
      </c>
      <c r="G392" s="310">
        <v>28365.087361205995</v>
      </c>
      <c r="H392" s="310">
        <v>28605.048657477957</v>
      </c>
      <c r="I392" s="310">
        <v>28731.511285170833</v>
      </c>
      <c r="J392" s="310">
        <v>28918.95861380094</v>
      </c>
      <c r="K392" s="310">
        <v>29112.029362289948</v>
      </c>
      <c r="L392" s="310">
        <v>29310.892233233626</v>
      </c>
      <c r="M392" s="310">
        <v>29460.19592029936</v>
      </c>
      <c r="N392" s="311">
        <v>29671.169540083512</v>
      </c>
      <c r="O392" s="31">
        <v>29888.472368461185</v>
      </c>
      <c r="P392" s="31">
        <v>30112.294281690189</v>
      </c>
      <c r="Q392" s="31">
        <v>30287.30578230981</v>
      </c>
      <c r="R392" s="31">
        <v>30524.758450054462</v>
      </c>
      <c r="S392" s="31">
        <v>30769.334697831451</v>
      </c>
      <c r="T392" s="31">
        <v>31021.248233041752</v>
      </c>
      <c r="U392" s="31">
        <v>31225.194104302103</v>
      </c>
      <c r="V392" s="31">
        <v>31492.449173806712</v>
      </c>
      <c r="W392" s="31">
        <v>31767.721895396458</v>
      </c>
      <c r="X392" s="31">
        <v>32051.252798633897</v>
      </c>
    </row>
    <row r="393" spans="1:24">
      <c r="A393" s="260" t="s">
        <v>35</v>
      </c>
      <c r="B393" s="305">
        <f>NPV(0.1,D393:Y393)</f>
        <v>112215.40670034953</v>
      </c>
      <c r="C393" s="305">
        <f>B393-B383</f>
        <v>-1658.0225807588722</v>
      </c>
      <c r="D393" s="309">
        <v>1705.4588392926325</v>
      </c>
      <c r="E393" s="310">
        <v>3289.2311252226978</v>
      </c>
      <c r="F393" s="310">
        <v>3416.9078240940617</v>
      </c>
      <c r="G393" s="310">
        <v>8574.6499312363285</v>
      </c>
      <c r="H393" s="310">
        <v>14112.123004471163</v>
      </c>
      <c r="I393" s="310">
        <v>15047.963056375156</v>
      </c>
      <c r="J393" s="310">
        <v>15607.801391173409</v>
      </c>
      <c r="K393" s="310">
        <v>16096.018083307694</v>
      </c>
      <c r="L393" s="310">
        <v>16601.030995728623</v>
      </c>
      <c r="M393" s="310">
        <v>17157.768333655971</v>
      </c>
      <c r="N393" s="311">
        <v>17700.554976489111</v>
      </c>
      <c r="O393" s="31">
        <v>18490.329823355929</v>
      </c>
      <c r="P393" s="31">
        <v>19322.322268842741</v>
      </c>
      <c r="Q393" s="31">
        <v>20233.449830564819</v>
      </c>
      <c r="R393" s="31">
        <v>21160.18201438299</v>
      </c>
      <c r="S393" s="31">
        <v>22138.941213083774</v>
      </c>
      <c r="T393" s="31">
        <v>22910.543196615352</v>
      </c>
      <c r="U393" s="31">
        <v>23751.845825513876</v>
      </c>
      <c r="V393" s="31">
        <v>24598.60322802452</v>
      </c>
      <c r="W393" s="31">
        <v>25486.471694822485</v>
      </c>
      <c r="X393" s="31">
        <v>26441.027951652646</v>
      </c>
    </row>
    <row r="394" spans="1:24">
      <c r="A394" s="260" t="s">
        <v>32</v>
      </c>
      <c r="B394" s="305">
        <f>NPV(0.1,D394:Y394)</f>
        <v>140808.87090160602</v>
      </c>
      <c r="C394" s="305">
        <f>B394-B384</f>
        <v>-1394.1004810201994</v>
      </c>
      <c r="D394" s="312">
        <v>4592.4481321820749</v>
      </c>
      <c r="E394" s="313">
        <v>9528.7980969986602</v>
      </c>
      <c r="F394" s="313">
        <v>9040.7318413286594</v>
      </c>
      <c r="G394" s="313">
        <v>20999.352278608298</v>
      </c>
      <c r="H394" s="313">
        <v>26526.631414526673</v>
      </c>
      <c r="I394" s="313">
        <v>21924.613560633188</v>
      </c>
      <c r="J394" s="313">
        <v>19809.597850133316</v>
      </c>
      <c r="K394" s="313">
        <v>19722.519538112378</v>
      </c>
      <c r="L394" s="313">
        <v>19594.607088545479</v>
      </c>
      <c r="M394" s="313">
        <v>19417.184992918163</v>
      </c>
      <c r="N394" s="314">
        <v>19294.364013307997</v>
      </c>
      <c r="O394" s="31">
        <v>19185.169242042182</v>
      </c>
      <c r="P394" s="31">
        <v>19028.251487674999</v>
      </c>
      <c r="Q394" s="31">
        <v>18814.058292948306</v>
      </c>
      <c r="R394" s="31">
        <v>18645.738372406497</v>
      </c>
      <c r="S394" s="31">
        <v>15687.638875489525</v>
      </c>
      <c r="T394" s="31">
        <v>12598.468873398677</v>
      </c>
      <c r="U394" s="31">
        <v>12128.105484573884</v>
      </c>
      <c r="V394" s="31">
        <v>11709.884193657446</v>
      </c>
      <c r="W394" s="31">
        <v>11186.423426189413</v>
      </c>
      <c r="X394" s="31">
        <v>30664.309326980925</v>
      </c>
    </row>
    <row r="396" spans="1:24">
      <c r="A396" s="29" t="s">
        <v>627</v>
      </c>
    </row>
    <row r="397" spans="1:24">
      <c r="A397" s="261">
        <v>36284</v>
      </c>
    </row>
    <row r="398" spans="1:24">
      <c r="A398" s="254" t="s">
        <v>379</v>
      </c>
      <c r="B398" s="255">
        <v>58859.945163653283</v>
      </c>
      <c r="C398" s="256"/>
      <c r="D398" s="256"/>
      <c r="E398" s="256"/>
      <c r="F398" s="256"/>
      <c r="G398" s="256"/>
      <c r="H398" s="256"/>
      <c r="I398" s="256"/>
      <c r="J398" s="256"/>
      <c r="K398" s="256"/>
      <c r="L398" s="256"/>
      <c r="M398" s="256"/>
      <c r="N398" s="256"/>
      <c r="O398" s="256"/>
      <c r="P398" s="256"/>
      <c r="Q398" s="256"/>
      <c r="R398" s="256"/>
      <c r="S398" s="256"/>
      <c r="T398" s="256"/>
      <c r="U398" s="256"/>
      <c r="V398" s="256"/>
    </row>
    <row r="399" spans="1:24">
      <c r="A399" s="257" t="s">
        <v>380</v>
      </c>
      <c r="B399" s="258">
        <v>98932.541668465856</v>
      </c>
      <c r="C399" s="256"/>
      <c r="D399" s="256"/>
      <c r="E399" s="256"/>
      <c r="F399" s="256"/>
      <c r="G399" s="256"/>
      <c r="H399" s="256"/>
      <c r="I399" s="256"/>
      <c r="J399" s="256"/>
      <c r="K399" s="256"/>
      <c r="L399" s="256"/>
      <c r="M399" s="256"/>
      <c r="N399" s="256"/>
      <c r="O399" s="256"/>
      <c r="P399" s="256"/>
      <c r="Q399" s="256"/>
      <c r="R399" s="256"/>
      <c r="S399" s="256"/>
      <c r="T399" s="256"/>
      <c r="U399" s="256"/>
      <c r="V399" s="256"/>
    </row>
    <row r="400" spans="1:24">
      <c r="A400" s="259" t="s">
        <v>383</v>
      </c>
      <c r="B400" s="304" t="s">
        <v>483</v>
      </c>
      <c r="C400" s="304" t="s">
        <v>484</v>
      </c>
      <c r="D400" s="306">
        <v>2000</v>
      </c>
      <c r="E400" s="307">
        <v>2001</v>
      </c>
      <c r="F400" s="307">
        <v>2002</v>
      </c>
      <c r="G400" s="307">
        <v>2003</v>
      </c>
      <c r="H400" s="307">
        <v>2004</v>
      </c>
      <c r="I400" s="307">
        <v>2005</v>
      </c>
      <c r="J400" s="307">
        <v>2006</v>
      </c>
      <c r="K400" s="307">
        <v>2007</v>
      </c>
      <c r="L400" s="307">
        <v>2008</v>
      </c>
      <c r="M400" s="307">
        <v>2009</v>
      </c>
      <c r="N400" s="308">
        <v>2010</v>
      </c>
      <c r="O400" s="256">
        <v>2011</v>
      </c>
      <c r="P400" s="256">
        <v>2012</v>
      </c>
      <c r="Q400" s="256">
        <v>2013</v>
      </c>
      <c r="R400" s="256">
        <v>2014</v>
      </c>
      <c r="S400" s="256">
        <v>2015</v>
      </c>
      <c r="T400" s="256">
        <v>2016</v>
      </c>
      <c r="U400" s="256">
        <v>2017</v>
      </c>
      <c r="V400" s="256">
        <v>2018</v>
      </c>
      <c r="W400" s="256">
        <v>2019</v>
      </c>
      <c r="X400" s="256">
        <v>2020</v>
      </c>
    </row>
    <row r="401" spans="1:24">
      <c r="A401" s="259" t="s">
        <v>381</v>
      </c>
      <c r="B401" s="305">
        <f>NPV(0.1,D401:Y401)</f>
        <v>571890.43706967204</v>
      </c>
      <c r="C401" s="305">
        <f>B401-B391</f>
        <v>-9296.8620013541076</v>
      </c>
      <c r="D401" s="309">
        <v>39544.2212</v>
      </c>
      <c r="E401" s="310">
        <v>54211.262468000001</v>
      </c>
      <c r="F401" s="310">
        <v>54288.554974040002</v>
      </c>
      <c r="G401" s="310">
        <v>62082.957033490333</v>
      </c>
      <c r="H401" s="310">
        <v>70348.499741318941</v>
      </c>
      <c r="I401" s="310">
        <v>71798.53261675853</v>
      </c>
      <c r="J401" s="310">
        <v>71782.481907873254</v>
      </c>
      <c r="K401" s="310">
        <v>72498.098194456645</v>
      </c>
      <c r="L401" s="310">
        <v>73211.859888021951</v>
      </c>
      <c r="M401" s="310">
        <v>73923.011658330171</v>
      </c>
      <c r="N401" s="311">
        <v>74630.754524461619</v>
      </c>
      <c r="O401" s="31">
        <v>75334.243915572501</v>
      </c>
      <c r="P401" s="31">
        <v>76032.587654582021</v>
      </c>
      <c r="Q401" s="31">
        <v>76724.843861912072</v>
      </c>
      <c r="R401" s="31">
        <v>77410.018776296813</v>
      </c>
      <c r="S401" s="31">
        <v>78087.064489572906</v>
      </c>
      <c r="T401" s="31">
        <v>78754.876592250905</v>
      </c>
      <c r="U401" s="31">
        <v>79412.291726552969</v>
      </c>
      <c r="V401" s="31">
        <v>80058.085043484156</v>
      </c>
      <c r="W401" s="31">
        <v>79582.529642773894</v>
      </c>
      <c r="X401" s="31">
        <v>80167.892360121506</v>
      </c>
    </row>
    <row r="402" spans="1:24">
      <c r="A402" s="260" t="s">
        <v>382</v>
      </c>
      <c r="B402" s="305">
        <f>NPV(0.1,D402:Y402)</f>
        <v>250347.00607684581</v>
      </c>
      <c r="C402" s="305">
        <f>B402-B392</f>
        <v>41.712066388194216</v>
      </c>
      <c r="D402" s="309">
        <v>26271.72627532449</v>
      </c>
      <c r="E402" s="310">
        <v>28000.646950529102</v>
      </c>
      <c r="F402" s="310">
        <v>28151.261882452156</v>
      </c>
      <c r="G402" s="310">
        <v>28369.669473460053</v>
      </c>
      <c r="H402" s="310">
        <v>28609.630769732015</v>
      </c>
      <c r="I402" s="310">
        <v>28736.093397424891</v>
      </c>
      <c r="J402" s="310">
        <v>28923.540726054998</v>
      </c>
      <c r="K402" s="310">
        <v>29116.611474544006</v>
      </c>
      <c r="L402" s="310">
        <v>29315.474345487684</v>
      </c>
      <c r="M402" s="310">
        <v>29464.778032553419</v>
      </c>
      <c r="N402" s="311">
        <v>29675.751652337571</v>
      </c>
      <c r="O402" s="31">
        <v>29893.054480715244</v>
      </c>
      <c r="P402" s="31">
        <v>30116.876393944247</v>
      </c>
      <c r="Q402" s="31">
        <v>30291.887894563868</v>
      </c>
      <c r="R402" s="31">
        <v>30529.34056230852</v>
      </c>
      <c r="S402" s="31">
        <v>30773.916810085509</v>
      </c>
      <c r="T402" s="31">
        <v>31025.83034529581</v>
      </c>
      <c r="U402" s="31">
        <v>31229.776216556162</v>
      </c>
      <c r="V402" s="31">
        <v>31497.03128606077</v>
      </c>
      <c r="W402" s="31">
        <v>31772.304007650517</v>
      </c>
      <c r="X402" s="31">
        <v>32055.834910887956</v>
      </c>
    </row>
    <row r="403" spans="1:24">
      <c r="A403" s="260" t="s">
        <v>35</v>
      </c>
      <c r="B403" s="305">
        <f>NPV(0.1,D403:Y403)</f>
        <v>108322.17555705446</v>
      </c>
      <c r="C403" s="305">
        <f>B403-B393</f>
        <v>-3893.2311432950664</v>
      </c>
      <c r="D403" s="309">
        <v>1812.572117536479</v>
      </c>
      <c r="E403" s="310">
        <v>3517.4682680671776</v>
      </c>
      <c r="F403" s="310">
        <v>3662.9074405594879</v>
      </c>
      <c r="G403" s="310">
        <v>8493.5544506529986</v>
      </c>
      <c r="H403" s="310">
        <v>13431.446859782845</v>
      </c>
      <c r="I403" s="310">
        <v>14520.52343361967</v>
      </c>
      <c r="J403" s="310">
        <v>14717.755888218344</v>
      </c>
      <c r="K403" s="310">
        <v>15285.820927116196</v>
      </c>
      <c r="L403" s="310">
        <v>15879.211905043692</v>
      </c>
      <c r="M403" s="310">
        <v>16533.532090907443</v>
      </c>
      <c r="N403" s="311">
        <v>17183.833066393949</v>
      </c>
      <c r="O403" s="31">
        <v>17865.007385102628</v>
      </c>
      <c r="P403" s="31">
        <v>18579.176776484728</v>
      </c>
      <c r="Q403" s="31">
        <v>19362.549545471462</v>
      </c>
      <c r="R403" s="31">
        <v>20150.831444623898</v>
      </c>
      <c r="S403" s="31">
        <v>20979.622315616958</v>
      </c>
      <c r="T403" s="31">
        <v>21851.808596552954</v>
      </c>
      <c r="U403" s="31">
        <v>22804.425371768695</v>
      </c>
      <c r="V403" s="31">
        <v>23774.072268816912</v>
      </c>
      <c r="W403" s="31">
        <v>24120.202257573575</v>
      </c>
      <c r="X403" s="31">
        <v>25181.884465778377</v>
      </c>
    </row>
    <row r="404" spans="1:24">
      <c r="A404" s="260" t="s">
        <v>32</v>
      </c>
      <c r="B404" s="305">
        <f>NPV(0.1,D404:Y404)</f>
        <v>137603.06605009318</v>
      </c>
      <c r="C404" s="305">
        <f>B404-B394</f>
        <v>-3205.8048515128321</v>
      </c>
      <c r="D404" s="312">
        <v>4590.0711614502816</v>
      </c>
      <c r="E404" s="313">
        <v>9527.2134498441337</v>
      </c>
      <c r="F404" s="313">
        <v>9039.1471941741329</v>
      </c>
      <c r="G404" s="313">
        <v>20649.388630518552</v>
      </c>
      <c r="H404" s="313">
        <v>25565.057245096992</v>
      </c>
      <c r="I404" s="313">
        <v>21590.144092331328</v>
      </c>
      <c r="J404" s="313">
        <v>19234.934323824476</v>
      </c>
      <c r="K404" s="313">
        <v>19190.682426643365</v>
      </c>
      <c r="L404" s="313">
        <v>19106.74915455269</v>
      </c>
      <c r="M404" s="313">
        <v>18974.335021384206</v>
      </c>
      <c r="N404" s="314">
        <v>18897.405967444978</v>
      </c>
      <c r="O404" s="31">
        <v>18756.518497454759</v>
      </c>
      <c r="P404" s="31">
        <v>18568.446406581126</v>
      </c>
      <c r="Q404" s="31">
        <v>18323.864797595437</v>
      </c>
      <c r="R404" s="31">
        <v>18126.176452936805</v>
      </c>
      <c r="S404" s="31">
        <v>15140.01155057613</v>
      </c>
      <c r="T404" s="31">
        <v>12115.165891902147</v>
      </c>
      <c r="U404" s="31">
        <v>11711.075965496613</v>
      </c>
      <c r="V404" s="31">
        <v>11360.944176652923</v>
      </c>
      <c r="W404" s="31">
        <v>10673.492656930208</v>
      </c>
      <c r="X404" s="31">
        <v>29405.16584110666</v>
      </c>
    </row>
    <row r="406" spans="1:24">
      <c r="A406" s="29" t="s">
        <v>628</v>
      </c>
    </row>
    <row r="407" spans="1:24">
      <c r="A407" s="261">
        <v>36284</v>
      </c>
    </row>
    <row r="408" spans="1:24">
      <c r="A408" s="254" t="s">
        <v>379</v>
      </c>
      <c r="B408" s="255">
        <v>58859.945163653283</v>
      </c>
      <c r="C408" s="256"/>
      <c r="D408" s="256"/>
      <c r="E408" s="256"/>
      <c r="F408" s="256"/>
      <c r="G408" s="256"/>
      <c r="H408" s="256"/>
      <c r="I408" s="256"/>
      <c r="J408" s="256"/>
      <c r="K408" s="256"/>
      <c r="L408" s="256"/>
      <c r="M408" s="256"/>
      <c r="N408" s="256"/>
      <c r="O408" s="256"/>
      <c r="P408" s="256"/>
      <c r="Q408" s="256"/>
      <c r="R408" s="256"/>
      <c r="S408" s="256"/>
      <c r="T408" s="256"/>
      <c r="U408" s="256"/>
      <c r="V408" s="256"/>
    </row>
    <row r="409" spans="1:24">
      <c r="A409" s="257" t="s">
        <v>380</v>
      </c>
      <c r="B409" s="258">
        <v>98932.541668465856</v>
      </c>
      <c r="C409" s="256"/>
      <c r="D409" s="256"/>
      <c r="E409" s="256"/>
      <c r="F409" s="256"/>
      <c r="G409" s="256"/>
      <c r="H409" s="256"/>
      <c r="I409" s="256"/>
      <c r="J409" s="256"/>
      <c r="K409" s="256"/>
      <c r="L409" s="256"/>
      <c r="M409" s="256"/>
      <c r="N409" s="256"/>
      <c r="O409" s="256"/>
      <c r="P409" s="256"/>
      <c r="Q409" s="256"/>
      <c r="R409" s="256"/>
      <c r="S409" s="256"/>
      <c r="T409" s="256"/>
      <c r="U409" s="256"/>
      <c r="V409" s="256"/>
    </row>
    <row r="410" spans="1:24">
      <c r="A410" s="259" t="s">
        <v>383</v>
      </c>
      <c r="B410" s="304" t="s">
        <v>483</v>
      </c>
      <c r="C410" s="304" t="s">
        <v>484</v>
      </c>
      <c r="D410" s="306">
        <v>2000</v>
      </c>
      <c r="E410" s="307">
        <v>2001</v>
      </c>
      <c r="F410" s="307">
        <v>2002</v>
      </c>
      <c r="G410" s="307">
        <v>2003</v>
      </c>
      <c r="H410" s="307">
        <v>2004</v>
      </c>
      <c r="I410" s="307">
        <v>2005</v>
      </c>
      <c r="J410" s="307">
        <v>2006</v>
      </c>
      <c r="K410" s="307">
        <v>2007</v>
      </c>
      <c r="L410" s="307">
        <v>2008</v>
      </c>
      <c r="M410" s="307">
        <v>2009</v>
      </c>
      <c r="N410" s="308">
        <v>2010</v>
      </c>
      <c r="O410" s="256">
        <v>2011</v>
      </c>
      <c r="P410" s="256">
        <v>2012</v>
      </c>
      <c r="Q410" s="256">
        <v>2013</v>
      </c>
      <c r="R410" s="256">
        <v>2014</v>
      </c>
      <c r="S410" s="256">
        <v>2015</v>
      </c>
      <c r="T410" s="256">
        <v>2016</v>
      </c>
      <c r="U410" s="256">
        <v>2017</v>
      </c>
      <c r="V410" s="256">
        <v>2018</v>
      </c>
      <c r="W410" s="256">
        <v>2019</v>
      </c>
      <c r="X410" s="256">
        <v>2020</v>
      </c>
    </row>
    <row r="411" spans="1:24">
      <c r="A411" s="259" t="s">
        <v>381</v>
      </c>
      <c r="B411" s="305">
        <f>NPV(0.1,D411:Y411)</f>
        <v>569640.98433369549</v>
      </c>
      <c r="C411" s="305">
        <f>B411-B401</f>
        <v>-2249.4527359765489</v>
      </c>
      <c r="D411" s="309">
        <v>39284.1296</v>
      </c>
      <c r="E411" s="310">
        <v>53951.170868000001</v>
      </c>
      <c r="F411" s="310">
        <v>54028.463374039995</v>
      </c>
      <c r="G411" s="310">
        <v>61822.865433490333</v>
      </c>
      <c r="H411" s="310">
        <v>70088.408141318941</v>
      </c>
      <c r="I411" s="310">
        <v>71538.44101675853</v>
      </c>
      <c r="J411" s="310">
        <v>71522.390307873255</v>
      </c>
      <c r="K411" s="310">
        <v>72238.006594456645</v>
      </c>
      <c r="L411" s="310">
        <v>72951.768288021951</v>
      </c>
      <c r="M411" s="310">
        <v>73662.920058330172</v>
      </c>
      <c r="N411" s="311">
        <v>74370.66292446162</v>
      </c>
      <c r="O411" s="31">
        <v>75074.152315572501</v>
      </c>
      <c r="P411" s="31">
        <v>75772.496054582021</v>
      </c>
      <c r="Q411" s="31">
        <v>76464.752261912072</v>
      </c>
      <c r="R411" s="31">
        <v>77149.927176296813</v>
      </c>
      <c r="S411" s="31">
        <v>77826.972889572906</v>
      </c>
      <c r="T411" s="31">
        <v>78494.784992250905</v>
      </c>
      <c r="U411" s="31">
        <v>79152.200126552969</v>
      </c>
      <c r="V411" s="31">
        <v>79797.993443484156</v>
      </c>
      <c r="W411" s="31">
        <v>79322.438042773894</v>
      </c>
      <c r="X411" s="31">
        <v>79907.800760121507</v>
      </c>
    </row>
    <row r="412" spans="1:24">
      <c r="A412" s="260" t="s">
        <v>382</v>
      </c>
      <c r="B412" s="305">
        <f>NPV(0.1,D412:Y412)</f>
        <v>248097.55334086952</v>
      </c>
      <c r="C412" s="305">
        <f>B412-B402</f>
        <v>-2249.4527359762869</v>
      </c>
      <c r="D412" s="309">
        <v>26011.634675324491</v>
      </c>
      <c r="E412" s="310">
        <v>27740.555350529103</v>
      </c>
      <c r="F412" s="310">
        <v>27891.170282452156</v>
      </c>
      <c r="G412" s="310">
        <v>28109.577873460054</v>
      </c>
      <c r="H412" s="310">
        <v>28349.539169732008</v>
      </c>
      <c r="I412" s="310">
        <v>28476.001797424891</v>
      </c>
      <c r="J412" s="310">
        <v>28663.449126054998</v>
      </c>
      <c r="K412" s="310">
        <v>28856.519874544007</v>
      </c>
      <c r="L412" s="310">
        <v>29055.382745487685</v>
      </c>
      <c r="M412" s="310">
        <v>29204.686432553419</v>
      </c>
      <c r="N412" s="311">
        <v>29415.660052337571</v>
      </c>
      <c r="O412" s="31">
        <v>29632.962880715244</v>
      </c>
      <c r="P412" s="31">
        <v>29856.784793944247</v>
      </c>
      <c r="Q412" s="31">
        <v>30031.796294563868</v>
      </c>
      <c r="R412" s="31">
        <v>30269.24896230852</v>
      </c>
      <c r="S412" s="31">
        <v>30513.82521008551</v>
      </c>
      <c r="T412" s="31">
        <v>30765.73874529581</v>
      </c>
      <c r="U412" s="31">
        <v>30969.684616556162</v>
      </c>
      <c r="V412" s="31">
        <v>31236.93968606077</v>
      </c>
      <c r="W412" s="31">
        <v>31512.212407650517</v>
      </c>
      <c r="X412" s="31">
        <v>31795.743310887956</v>
      </c>
    </row>
    <row r="413" spans="1:24">
      <c r="A413" s="260" t="s">
        <v>35</v>
      </c>
      <c r="B413" s="305">
        <f>NPV(0.1,D413:Y413)</f>
        <v>108322.17555705446</v>
      </c>
      <c r="C413" s="305">
        <f>B413-B403</f>
        <v>0</v>
      </c>
      <c r="D413" s="309">
        <v>1812.572117536479</v>
      </c>
      <c r="E413" s="310">
        <v>3517.4682680671776</v>
      </c>
      <c r="F413" s="310">
        <v>3662.9074405594833</v>
      </c>
      <c r="G413" s="310">
        <v>8493.5544506529986</v>
      </c>
      <c r="H413" s="310">
        <v>13431.446859782849</v>
      </c>
      <c r="I413" s="310">
        <v>14520.52343361967</v>
      </c>
      <c r="J413" s="310">
        <v>14717.755888218344</v>
      </c>
      <c r="K413" s="310">
        <v>15285.820927116196</v>
      </c>
      <c r="L413" s="310">
        <v>15879.211905043692</v>
      </c>
      <c r="M413" s="310">
        <v>16533.532090907443</v>
      </c>
      <c r="N413" s="311">
        <v>17183.833066393949</v>
      </c>
      <c r="O413" s="31">
        <v>17865.007385102628</v>
      </c>
      <c r="P413" s="31">
        <v>18579.176776484728</v>
      </c>
      <c r="Q413" s="31">
        <v>19362.549545471462</v>
      </c>
      <c r="R413" s="31">
        <v>20150.831444623898</v>
      </c>
      <c r="S413" s="31">
        <v>20979.622315616958</v>
      </c>
      <c r="T413" s="31">
        <v>21851.808596552954</v>
      </c>
      <c r="U413" s="31">
        <v>22804.425371768695</v>
      </c>
      <c r="V413" s="31">
        <v>23774.072268816912</v>
      </c>
      <c r="W413" s="31">
        <v>24120.202257573575</v>
      </c>
      <c r="X413" s="31">
        <v>25181.884465778377</v>
      </c>
    </row>
    <row r="414" spans="1:24">
      <c r="A414" s="260" t="s">
        <v>32</v>
      </c>
      <c r="B414" s="305">
        <f>NPV(0.1,D414:Y414)</f>
        <v>137603.06605009318</v>
      </c>
      <c r="C414" s="305">
        <f>B414-B404</f>
        <v>0</v>
      </c>
      <c r="D414" s="312">
        <v>4590.0711614502816</v>
      </c>
      <c r="E414" s="313">
        <v>9527.2134498441337</v>
      </c>
      <c r="F414" s="313">
        <v>9039.1471941741293</v>
      </c>
      <c r="G414" s="313">
        <v>20649.388630518552</v>
      </c>
      <c r="H414" s="313">
        <v>25565.057245096999</v>
      </c>
      <c r="I414" s="313">
        <v>21590.144092331328</v>
      </c>
      <c r="J414" s="313">
        <v>19234.934323824476</v>
      </c>
      <c r="K414" s="313">
        <v>19190.682426643365</v>
      </c>
      <c r="L414" s="313">
        <v>19106.74915455269</v>
      </c>
      <c r="M414" s="313">
        <v>18974.335021384206</v>
      </c>
      <c r="N414" s="314">
        <v>18897.405967444978</v>
      </c>
      <c r="O414" s="31">
        <v>18756.518497454759</v>
      </c>
      <c r="P414" s="31">
        <v>18568.446406581126</v>
      </c>
      <c r="Q414" s="31">
        <v>18323.864797595437</v>
      </c>
      <c r="R414" s="31">
        <v>18126.176452936805</v>
      </c>
      <c r="S414" s="31">
        <v>15140.01155057613</v>
      </c>
      <c r="T414" s="31">
        <v>12115.165891902147</v>
      </c>
      <c r="U414" s="31">
        <v>11711.075965496613</v>
      </c>
      <c r="V414" s="31">
        <v>11360.944176652923</v>
      </c>
      <c r="W414" s="31">
        <v>10673.492656930208</v>
      </c>
      <c r="X414" s="31">
        <v>29405.16584110666</v>
      </c>
    </row>
    <row r="416" spans="1:24">
      <c r="A416" s="29" t="s">
        <v>629</v>
      </c>
    </row>
    <row r="417" spans="1:24">
      <c r="A417" s="261">
        <v>36285</v>
      </c>
    </row>
    <row r="418" spans="1:24">
      <c r="A418" s="254" t="s">
        <v>379</v>
      </c>
      <c r="B418" s="255">
        <v>58785.574568748489</v>
      </c>
      <c r="C418" s="256"/>
      <c r="D418" s="256"/>
      <c r="E418" s="256"/>
      <c r="F418" s="256"/>
      <c r="G418" s="256"/>
      <c r="H418" s="256"/>
      <c r="I418" s="256"/>
      <c r="J418" s="256"/>
      <c r="K418" s="256"/>
      <c r="L418" s="256"/>
      <c r="M418" s="256"/>
      <c r="N418" s="256"/>
      <c r="O418" s="256"/>
      <c r="P418" s="256"/>
      <c r="Q418" s="256"/>
      <c r="R418" s="256"/>
      <c r="S418" s="256"/>
      <c r="T418" s="256"/>
      <c r="U418" s="256"/>
      <c r="V418" s="256"/>
    </row>
    <row r="419" spans="1:24">
      <c r="A419" s="257" t="s">
        <v>380</v>
      </c>
      <c r="B419" s="258">
        <v>98843.698808511486</v>
      </c>
      <c r="C419" s="256"/>
      <c r="D419" s="256"/>
      <c r="E419" s="256"/>
      <c r="F419" s="256"/>
      <c r="G419" s="256"/>
      <c r="H419" s="256"/>
      <c r="I419" s="256"/>
      <c r="J419" s="256"/>
      <c r="K419" s="256"/>
      <c r="L419" s="256"/>
      <c r="M419" s="256"/>
      <c r="N419" s="256"/>
      <c r="O419" s="256"/>
      <c r="P419" s="256"/>
      <c r="Q419" s="256"/>
      <c r="R419" s="256"/>
      <c r="S419" s="256"/>
      <c r="T419" s="256"/>
      <c r="U419" s="256"/>
      <c r="V419" s="256"/>
    </row>
    <row r="420" spans="1:24">
      <c r="A420" s="259" t="s">
        <v>383</v>
      </c>
      <c r="B420" s="304" t="s">
        <v>483</v>
      </c>
      <c r="C420" s="304" t="s">
        <v>484</v>
      </c>
      <c r="D420" s="306">
        <v>2000</v>
      </c>
      <c r="E420" s="307">
        <v>2001</v>
      </c>
      <c r="F420" s="307">
        <v>2002</v>
      </c>
      <c r="G420" s="307">
        <v>2003</v>
      </c>
      <c r="H420" s="307">
        <v>2004</v>
      </c>
      <c r="I420" s="307">
        <v>2005</v>
      </c>
      <c r="J420" s="307">
        <v>2006</v>
      </c>
      <c r="K420" s="307">
        <v>2007</v>
      </c>
      <c r="L420" s="307">
        <v>2008</v>
      </c>
      <c r="M420" s="307">
        <v>2009</v>
      </c>
      <c r="N420" s="308">
        <v>2010</v>
      </c>
      <c r="O420" s="256">
        <v>2011</v>
      </c>
      <c r="P420" s="256">
        <v>2012</v>
      </c>
      <c r="Q420" s="256">
        <v>2013</v>
      </c>
      <c r="R420" s="256">
        <v>2014</v>
      </c>
      <c r="S420" s="256">
        <v>2015</v>
      </c>
      <c r="T420" s="256">
        <v>2016</v>
      </c>
      <c r="U420" s="256">
        <v>2017</v>
      </c>
      <c r="V420" s="256">
        <v>2018</v>
      </c>
      <c r="W420" s="256">
        <v>2019</v>
      </c>
      <c r="X420" s="256">
        <v>2020</v>
      </c>
    </row>
    <row r="421" spans="1:24">
      <c r="A421" s="259" t="s">
        <v>381</v>
      </c>
      <c r="B421" s="305">
        <f>NPV(0.1,D421:Y421)</f>
        <v>569640.98433369549</v>
      </c>
      <c r="C421" s="305">
        <f>B421-B411</f>
        <v>0</v>
      </c>
      <c r="D421" s="309">
        <v>39284.1296</v>
      </c>
      <c r="E421" s="310">
        <v>53951.170868000001</v>
      </c>
      <c r="F421" s="310">
        <v>54028.463374039995</v>
      </c>
      <c r="G421" s="310">
        <v>61822.865433490333</v>
      </c>
      <c r="H421" s="310">
        <v>70088.408141318941</v>
      </c>
      <c r="I421" s="310">
        <v>71538.44101675853</v>
      </c>
      <c r="J421" s="310">
        <v>71522.390307873255</v>
      </c>
      <c r="K421" s="310">
        <v>72238.006594456645</v>
      </c>
      <c r="L421" s="310">
        <v>72951.768288021951</v>
      </c>
      <c r="M421" s="310">
        <v>73662.920058330172</v>
      </c>
      <c r="N421" s="311">
        <v>74370.66292446162</v>
      </c>
      <c r="O421" s="31">
        <v>75074.152315572501</v>
      </c>
      <c r="P421" s="31">
        <v>75772.496054582021</v>
      </c>
      <c r="Q421" s="31">
        <v>76464.752261912072</v>
      </c>
      <c r="R421" s="31">
        <v>77149.927176296813</v>
      </c>
      <c r="S421" s="31">
        <v>77826.972889572906</v>
      </c>
      <c r="T421" s="31">
        <v>78494.784992250905</v>
      </c>
      <c r="U421" s="31">
        <v>79152.200126552969</v>
      </c>
      <c r="V421" s="31">
        <v>79797.993443484156</v>
      </c>
      <c r="W421" s="31">
        <v>79322.438042773894</v>
      </c>
      <c r="X421" s="31">
        <v>79907.800760121507</v>
      </c>
    </row>
    <row r="422" spans="1:24">
      <c r="A422" s="260" t="s">
        <v>382</v>
      </c>
      <c r="B422" s="305">
        <f>NPV(0.1,D422:Y422)</f>
        <v>248098.35853660884</v>
      </c>
      <c r="C422" s="305">
        <f>B422-B412</f>
        <v>0.80519573931815103</v>
      </c>
      <c r="D422" s="309">
        <v>26011.767352661649</v>
      </c>
      <c r="E422" s="310">
        <v>27740.643802087208</v>
      </c>
      <c r="F422" s="310">
        <v>27891.258734010262</v>
      </c>
      <c r="G422" s="310">
        <v>28109.666325018159</v>
      </c>
      <c r="H422" s="310">
        <v>28349.627621290114</v>
      </c>
      <c r="I422" s="310">
        <v>28476.090248982997</v>
      </c>
      <c r="J422" s="310">
        <v>28663.537577613104</v>
      </c>
      <c r="K422" s="310">
        <v>28856.608326102112</v>
      </c>
      <c r="L422" s="310">
        <v>29055.47119704579</v>
      </c>
      <c r="M422" s="310">
        <v>29204.774884111524</v>
      </c>
      <c r="N422" s="311">
        <v>29415.748503895677</v>
      </c>
      <c r="O422" s="31">
        <v>29633.05133227335</v>
      </c>
      <c r="P422" s="31">
        <v>29856.873245502353</v>
      </c>
      <c r="Q422" s="31">
        <v>30031.884746121974</v>
      </c>
      <c r="R422" s="31">
        <v>30269.337413866626</v>
      </c>
      <c r="S422" s="31">
        <v>30513.913661643615</v>
      </c>
      <c r="T422" s="31">
        <v>30765.827196853916</v>
      </c>
      <c r="U422" s="31">
        <v>30969.773068114268</v>
      </c>
      <c r="V422" s="31">
        <v>31237.028137618876</v>
      </c>
      <c r="W422" s="31">
        <v>31512.300859208623</v>
      </c>
      <c r="X422" s="31">
        <v>31795.831762446061</v>
      </c>
    </row>
    <row r="423" spans="1:24">
      <c r="A423" s="260" t="s">
        <v>35</v>
      </c>
      <c r="B423" s="305">
        <f>NPV(0.1,D423:Y423)</f>
        <v>108308.74062685792</v>
      </c>
      <c r="C423" s="305">
        <f>B423-B413</f>
        <v>-13.434930196541245</v>
      </c>
      <c r="D423" s="309">
        <v>1811.7055059290988</v>
      </c>
      <c r="E423" s="310">
        <v>3515.8398129635489</v>
      </c>
      <c r="F423" s="310">
        <v>3661.2776504065851</v>
      </c>
      <c r="G423" s="310">
        <v>8491.9232219845107</v>
      </c>
      <c r="H423" s="310">
        <v>13429.815169577336</v>
      </c>
      <c r="I423" s="310">
        <v>14518.891244954175</v>
      </c>
      <c r="J423" s="310">
        <v>14716.123161216068</v>
      </c>
      <c r="K423" s="310">
        <v>15284.187618710193</v>
      </c>
      <c r="L423" s="310">
        <v>15877.577968721673</v>
      </c>
      <c r="M423" s="310">
        <v>16531.897476436116</v>
      </c>
      <c r="N423" s="311">
        <v>17182.197719521362</v>
      </c>
      <c r="O423" s="31">
        <v>17863.371247236704</v>
      </c>
      <c r="P423" s="31">
        <v>18577.53978434598</v>
      </c>
      <c r="Q423" s="31">
        <v>19360.911630718081</v>
      </c>
      <c r="R423" s="31">
        <v>20149.192533446694</v>
      </c>
      <c r="S423" s="31">
        <v>20977.982328302038</v>
      </c>
      <c r="T423" s="31">
        <v>21850.167447009291</v>
      </c>
      <c r="U423" s="31">
        <v>22802.782967018004</v>
      </c>
      <c r="V423" s="31">
        <v>23772.428508442616</v>
      </c>
      <c r="W423" s="31">
        <v>24118.557033125791</v>
      </c>
      <c r="X423" s="31">
        <v>25180.237660131243</v>
      </c>
    </row>
    <row r="424" spans="1:24">
      <c r="A424" s="260" t="s">
        <v>32</v>
      </c>
      <c r="B424" s="305">
        <f>NPV(0.1,D424:Y424)</f>
        <v>137618.43465175605</v>
      </c>
      <c r="C424" s="305">
        <f>B424-B414</f>
        <v>15.368601662863512</v>
      </c>
      <c r="D424" s="312">
        <v>4590.0252772045114</v>
      </c>
      <c r="E424" s="313">
        <v>9527.1828603469476</v>
      </c>
      <c r="F424" s="313">
        <v>9039.1166046769467</v>
      </c>
      <c r="G424" s="313">
        <v>20649.334453939202</v>
      </c>
      <c r="H424" s="313">
        <v>25565.003068517653</v>
      </c>
      <c r="I424" s="313">
        <v>21605.588140198885</v>
      </c>
      <c r="J424" s="313">
        <v>19236.965902882614</v>
      </c>
      <c r="K424" s="313">
        <v>19192.717878612006</v>
      </c>
      <c r="L424" s="313">
        <v>19108.781528699514</v>
      </c>
      <c r="M424" s="313">
        <v>18976.371332048642</v>
      </c>
      <c r="N424" s="314">
        <v>18899.439268983271</v>
      </c>
      <c r="O424" s="31">
        <v>18758.555809701978</v>
      </c>
      <c r="P424" s="31">
        <v>18570.480789828798</v>
      </c>
      <c r="Q424" s="31">
        <v>18325.903278088801</v>
      </c>
      <c r="R424" s="31">
        <v>18128.212097890333</v>
      </c>
      <c r="S424" s="31">
        <v>15141.018159437233</v>
      </c>
      <c r="T424" s="31">
        <v>12115.143521272883</v>
      </c>
      <c r="U424" s="31">
        <v>11711.054420125478</v>
      </c>
      <c r="V424" s="31">
        <v>11360.923522560537</v>
      </c>
      <c r="W424" s="31">
        <v>10673.472965418881</v>
      </c>
      <c r="X424" s="31">
        <v>29405.111808559621</v>
      </c>
    </row>
    <row r="426" spans="1:24">
      <c r="A426" s="29" t="s">
        <v>630</v>
      </c>
    </row>
    <row r="427" spans="1:24">
      <c r="A427" s="261">
        <v>36285</v>
      </c>
    </row>
    <row r="428" spans="1:24">
      <c r="A428" s="254" t="s">
        <v>379</v>
      </c>
      <c r="B428" s="255">
        <v>59117.170166171265</v>
      </c>
      <c r="C428" s="256"/>
      <c r="D428" s="256"/>
      <c r="E428" s="256"/>
      <c r="F428" s="256"/>
      <c r="G428" s="256"/>
      <c r="H428" s="256"/>
      <c r="I428" s="256"/>
      <c r="J428" s="256"/>
      <c r="K428" s="256"/>
      <c r="L428" s="256"/>
      <c r="M428" s="256"/>
      <c r="N428" s="256"/>
      <c r="O428" s="256"/>
      <c r="P428" s="256"/>
      <c r="Q428" s="256"/>
      <c r="R428" s="256"/>
      <c r="S428" s="256"/>
      <c r="T428" s="256"/>
      <c r="U428" s="256"/>
      <c r="V428" s="256"/>
    </row>
    <row r="429" spans="1:24">
      <c r="A429" s="257" t="s">
        <v>380</v>
      </c>
      <c r="B429" s="258">
        <v>99283.461865398931</v>
      </c>
      <c r="C429" s="256"/>
      <c r="D429" s="256"/>
      <c r="E429" s="256"/>
      <c r="F429" s="256"/>
      <c r="G429" s="256"/>
      <c r="H429" s="256"/>
      <c r="I429" s="256"/>
      <c r="J429" s="256"/>
      <c r="K429" s="256"/>
      <c r="L429" s="256"/>
      <c r="M429" s="256"/>
      <c r="N429" s="256"/>
      <c r="O429" s="256"/>
      <c r="P429" s="256"/>
      <c r="Q429" s="256"/>
      <c r="R429" s="256"/>
      <c r="S429" s="256"/>
      <c r="T429" s="256"/>
      <c r="U429" s="256"/>
      <c r="V429" s="256"/>
    </row>
    <row r="430" spans="1:24">
      <c r="A430" s="259" t="s">
        <v>383</v>
      </c>
      <c r="B430" s="304" t="s">
        <v>483</v>
      </c>
      <c r="C430" s="304" t="s">
        <v>484</v>
      </c>
      <c r="D430" s="306">
        <v>2000</v>
      </c>
      <c r="E430" s="307">
        <v>2001</v>
      </c>
      <c r="F430" s="307">
        <v>2002</v>
      </c>
      <c r="G430" s="307">
        <v>2003</v>
      </c>
      <c r="H430" s="307">
        <v>2004</v>
      </c>
      <c r="I430" s="307">
        <v>2005</v>
      </c>
      <c r="J430" s="307">
        <v>2006</v>
      </c>
      <c r="K430" s="307">
        <v>2007</v>
      </c>
      <c r="L430" s="307">
        <v>2008</v>
      </c>
      <c r="M430" s="307">
        <v>2009</v>
      </c>
      <c r="N430" s="308">
        <v>2010</v>
      </c>
      <c r="O430" s="256">
        <v>2011</v>
      </c>
      <c r="P430" s="256">
        <v>2012</v>
      </c>
      <c r="Q430" s="256">
        <v>2013</v>
      </c>
      <c r="R430" s="256">
        <v>2014</v>
      </c>
      <c r="S430" s="256">
        <v>2015</v>
      </c>
      <c r="T430" s="256">
        <v>2016</v>
      </c>
      <c r="U430" s="256">
        <v>2017</v>
      </c>
      <c r="V430" s="256">
        <v>2018</v>
      </c>
      <c r="W430" s="256">
        <v>2019</v>
      </c>
      <c r="X430" s="256">
        <v>2020</v>
      </c>
    </row>
    <row r="431" spans="1:24">
      <c r="A431" s="259" t="s">
        <v>381</v>
      </c>
      <c r="B431" s="305">
        <f>NPV(0.1,D431:Y431)</f>
        <v>572719.06773665454</v>
      </c>
      <c r="C431" s="305">
        <f>B431-B421</f>
        <v>3078.0834029590478</v>
      </c>
      <c r="D431" s="309">
        <v>41716.1296</v>
      </c>
      <c r="E431" s="310">
        <v>53951.170868000001</v>
      </c>
      <c r="F431" s="310">
        <v>54028.463374039995</v>
      </c>
      <c r="G431" s="310">
        <v>63092.495343762632</v>
      </c>
      <c r="H431" s="310">
        <v>70088.408141318941</v>
      </c>
      <c r="I431" s="310">
        <v>71538.44101675853</v>
      </c>
      <c r="J431" s="310">
        <v>71522.390307873255</v>
      </c>
      <c r="K431" s="310">
        <v>72238.006594456645</v>
      </c>
      <c r="L431" s="310">
        <v>72951.768288021951</v>
      </c>
      <c r="M431" s="310">
        <v>73662.920058330172</v>
      </c>
      <c r="N431" s="311">
        <v>74370.66292446162</v>
      </c>
      <c r="O431" s="31">
        <v>75074.152315572501</v>
      </c>
      <c r="P431" s="31">
        <v>75772.496054582021</v>
      </c>
      <c r="Q431" s="31">
        <v>76464.752261912072</v>
      </c>
      <c r="R431" s="31">
        <v>77149.927176296813</v>
      </c>
      <c r="S431" s="31">
        <v>77826.972889572906</v>
      </c>
      <c r="T431" s="31">
        <v>78494.784992250905</v>
      </c>
      <c r="U431" s="31">
        <v>79152.200126552969</v>
      </c>
      <c r="V431" s="31">
        <v>79797.993443484156</v>
      </c>
      <c r="W431" s="31">
        <v>79322.438042773894</v>
      </c>
      <c r="X431" s="31">
        <v>79907.800760121507</v>
      </c>
    </row>
    <row r="432" spans="1:24">
      <c r="A432" s="260" t="s">
        <v>382</v>
      </c>
      <c r="B432" s="305">
        <f>NPV(0.1,D432:Y432)</f>
        <v>248273.63361102634</v>
      </c>
      <c r="C432" s="305">
        <f>B432-B422</f>
        <v>175.27507441749913</v>
      </c>
      <c r="D432" s="309">
        <v>26202.882236734891</v>
      </c>
      <c r="E432" s="310">
        <v>27739.911389162564</v>
      </c>
      <c r="F432" s="310">
        <v>27890.526321085617</v>
      </c>
      <c r="G432" s="310">
        <v>28119.47961394805</v>
      </c>
      <c r="H432" s="310">
        <v>28348.895208365469</v>
      </c>
      <c r="I432" s="310">
        <v>28475.357836058352</v>
      </c>
      <c r="J432" s="310">
        <v>28662.80516468846</v>
      </c>
      <c r="K432" s="310">
        <v>28855.875913177468</v>
      </c>
      <c r="L432" s="310">
        <v>29054.738784121146</v>
      </c>
      <c r="M432" s="310">
        <v>29204.04247118688</v>
      </c>
      <c r="N432" s="311">
        <v>29415.016090971032</v>
      </c>
      <c r="O432" s="31">
        <v>29632.318919348705</v>
      </c>
      <c r="P432" s="31">
        <v>29856.140832577708</v>
      </c>
      <c r="Q432" s="31">
        <v>30031.152333197329</v>
      </c>
      <c r="R432" s="31">
        <v>30268.605000941981</v>
      </c>
      <c r="S432" s="31">
        <v>30513.181248718971</v>
      </c>
      <c r="T432" s="31">
        <v>30765.094783929271</v>
      </c>
      <c r="U432" s="31">
        <v>30969.040655189623</v>
      </c>
      <c r="V432" s="31">
        <v>31236.295724694231</v>
      </c>
      <c r="W432" s="31">
        <v>31511.568446283978</v>
      </c>
      <c r="X432" s="31">
        <v>31795.099349521417</v>
      </c>
    </row>
    <row r="433" spans="1:24">
      <c r="A433" s="260" t="s">
        <v>35</v>
      </c>
      <c r="B433" s="305">
        <f>NPV(0.1,D433:Y433)</f>
        <v>109070.34245942402</v>
      </c>
      <c r="C433" s="305">
        <f>B433-B423</f>
        <v>761.60183256609889</v>
      </c>
      <c r="D433" s="309">
        <v>2110.875027004553</v>
      </c>
      <c r="E433" s="310">
        <v>3496.7486864804328</v>
      </c>
      <c r="F433" s="310">
        <v>3640.6951181371419</v>
      </c>
      <c r="G433" s="310">
        <v>9238.8725163882937</v>
      </c>
      <c r="H433" s="310">
        <v>13430.137418179855</v>
      </c>
      <c r="I433" s="310">
        <v>14533.798095997103</v>
      </c>
      <c r="J433" s="310">
        <v>14716.453994894626</v>
      </c>
      <c r="K433" s="310">
        <v>15284.523266635228</v>
      </c>
      <c r="L433" s="310">
        <v>15877.918816032909</v>
      </c>
      <c r="M433" s="310">
        <v>16532.243939084445</v>
      </c>
      <c r="N433" s="311">
        <v>17182.550246733765</v>
      </c>
      <c r="O433" s="31">
        <v>17863.730324178294</v>
      </c>
      <c r="P433" s="31">
        <v>18577.905934995099</v>
      </c>
      <c r="Q433" s="31">
        <v>19361.285420971326</v>
      </c>
      <c r="R433" s="31">
        <v>20149.574574472397</v>
      </c>
      <c r="S433" s="31">
        <v>20978.373280161999</v>
      </c>
      <c r="T433" s="31">
        <v>21850.568022570253</v>
      </c>
      <c r="U433" s="31">
        <v>22803.193936176038</v>
      </c>
      <c r="V433" s="31">
        <v>23772.850702685493</v>
      </c>
      <c r="W433" s="31">
        <v>24118.991350460296</v>
      </c>
      <c r="X433" s="31">
        <v>25184.455882904687</v>
      </c>
    </row>
    <row r="434" spans="1:24">
      <c r="A434" s="260" t="s">
        <v>32</v>
      </c>
      <c r="B434" s="305">
        <f>NPV(0.1,D434:Y434)</f>
        <v>138342.85369391492</v>
      </c>
      <c r="C434" s="305">
        <f>B434-B424</f>
        <v>724.41904215887189</v>
      </c>
      <c r="D434" s="312">
        <v>5364.9980464625187</v>
      </c>
      <c r="E434" s="313">
        <v>9527.4361531500581</v>
      </c>
      <c r="F434" s="313">
        <v>9039.3698974800573</v>
      </c>
      <c r="G434" s="313">
        <v>21420.972134511423</v>
      </c>
      <c r="H434" s="313">
        <v>25565.451671434002</v>
      </c>
      <c r="I434" s="313">
        <v>20704.896953564112</v>
      </c>
      <c r="J434" s="313">
        <v>19237.196993334353</v>
      </c>
      <c r="K434" s="313">
        <v>19192.945803852082</v>
      </c>
      <c r="L434" s="313">
        <v>19109.006035510985</v>
      </c>
      <c r="M434" s="313">
        <v>18976.592146957235</v>
      </c>
      <c r="N434" s="314">
        <v>18899.656096636743</v>
      </c>
      <c r="O434" s="31">
        <v>18758.768331119933</v>
      </c>
      <c r="P434" s="31">
        <v>18570.688660512391</v>
      </c>
      <c r="Q434" s="31">
        <v>18326.106125979284</v>
      </c>
      <c r="R434" s="31">
        <v>18128.409521164245</v>
      </c>
      <c r="S434" s="31">
        <v>15141.209724125249</v>
      </c>
      <c r="T434" s="31">
        <v>12115.32875868816</v>
      </c>
      <c r="U434" s="31">
        <v>11711.232824086168</v>
      </c>
      <c r="V434" s="31">
        <v>11361.094546390279</v>
      </c>
      <c r="W434" s="31">
        <v>10673.636018707199</v>
      </c>
      <c r="X434" s="31">
        <v>29403.080031333066</v>
      </c>
    </row>
    <row r="436" spans="1:24">
      <c r="A436" s="29" t="s">
        <v>638</v>
      </c>
    </row>
    <row r="437" spans="1:24">
      <c r="A437" s="261">
        <v>36286</v>
      </c>
    </row>
    <row r="438" spans="1:24">
      <c r="A438" s="254" t="s">
        <v>379</v>
      </c>
      <c r="B438" s="255">
        <v>54757.069881193616</v>
      </c>
      <c r="C438" s="256"/>
      <c r="D438" s="256"/>
      <c r="E438" s="256"/>
      <c r="F438" s="256"/>
      <c r="G438" s="256"/>
      <c r="H438" s="256"/>
      <c r="I438" s="256"/>
      <c r="J438" s="256"/>
      <c r="K438" s="256"/>
      <c r="L438" s="256"/>
      <c r="M438" s="256"/>
      <c r="N438" s="256"/>
      <c r="O438" s="256"/>
      <c r="P438" s="256"/>
      <c r="Q438" s="256"/>
      <c r="R438" s="256"/>
      <c r="S438" s="256"/>
      <c r="T438" s="256"/>
      <c r="U438" s="256"/>
      <c r="V438" s="256"/>
    </row>
    <row r="439" spans="1:24">
      <c r="A439" s="257" t="s">
        <v>380</v>
      </c>
      <c r="B439" s="258">
        <v>93608.359382044844</v>
      </c>
      <c r="C439" s="256"/>
      <c r="D439" s="256"/>
      <c r="E439" s="256"/>
      <c r="F439" s="256"/>
      <c r="G439" s="256"/>
      <c r="H439" s="256"/>
      <c r="I439" s="256"/>
      <c r="J439" s="256"/>
      <c r="K439" s="256"/>
      <c r="L439" s="256"/>
      <c r="M439" s="256"/>
      <c r="N439" s="256"/>
      <c r="O439" s="256"/>
      <c r="P439" s="256"/>
      <c r="Q439" s="256"/>
      <c r="R439" s="256"/>
      <c r="S439" s="256"/>
      <c r="T439" s="256"/>
      <c r="U439" s="256"/>
      <c r="V439" s="256"/>
    </row>
    <row r="440" spans="1:24">
      <c r="A440" s="259" t="s">
        <v>383</v>
      </c>
      <c r="B440" s="304" t="s">
        <v>483</v>
      </c>
      <c r="C440" s="304" t="s">
        <v>484</v>
      </c>
      <c r="D440" s="306">
        <v>2000</v>
      </c>
      <c r="E440" s="307">
        <v>2001</v>
      </c>
      <c r="F440" s="307">
        <v>2002</v>
      </c>
      <c r="G440" s="307">
        <v>2003</v>
      </c>
      <c r="H440" s="307">
        <v>2004</v>
      </c>
      <c r="I440" s="307">
        <v>2005</v>
      </c>
      <c r="J440" s="307">
        <v>2006</v>
      </c>
      <c r="K440" s="307">
        <v>2007</v>
      </c>
      <c r="L440" s="307">
        <v>2008</v>
      </c>
      <c r="M440" s="307">
        <v>2009</v>
      </c>
      <c r="N440" s="308">
        <v>2010</v>
      </c>
      <c r="O440" s="256">
        <v>2011</v>
      </c>
      <c r="P440" s="256">
        <v>2012</v>
      </c>
      <c r="Q440" s="256">
        <v>2013</v>
      </c>
      <c r="R440" s="256">
        <v>2014</v>
      </c>
      <c r="S440" s="256">
        <v>2015</v>
      </c>
      <c r="T440" s="256">
        <v>2016</v>
      </c>
      <c r="U440" s="256">
        <v>2017</v>
      </c>
      <c r="V440" s="256">
        <v>2018</v>
      </c>
      <c r="W440" s="256">
        <v>2019</v>
      </c>
      <c r="X440" s="256">
        <v>2020</v>
      </c>
    </row>
    <row r="441" spans="1:24">
      <c r="A441" s="259" t="s">
        <v>381</v>
      </c>
      <c r="B441" s="305">
        <f>NPV(0.1,D441:Y441)</f>
        <v>567115.63604249735</v>
      </c>
      <c r="C441" s="305">
        <f>B441-B431</f>
        <v>-5603.4316941571888</v>
      </c>
      <c r="D441" s="309">
        <v>41716.1296</v>
      </c>
      <c r="E441" s="310">
        <v>53951.170868000001</v>
      </c>
      <c r="F441" s="310">
        <v>54028.463374039995</v>
      </c>
      <c r="G441" s="310">
        <v>62649.035577321774</v>
      </c>
      <c r="H441" s="310">
        <v>69192.034227253229</v>
      </c>
      <c r="I441" s="310">
        <v>70614.746880470848</v>
      </c>
      <c r="J441" s="310">
        <v>70600.748034108707</v>
      </c>
      <c r="K441" s="310">
        <v>71303.83476875622</v>
      </c>
      <c r="L441" s="310">
        <v>72005.157485459873</v>
      </c>
      <c r="M441" s="310">
        <v>72703.977565081877</v>
      </c>
      <c r="N441" s="311">
        <v>73399.513658952244</v>
      </c>
      <c r="O441" s="31">
        <v>74090.93978985431</v>
      </c>
      <c r="P441" s="31">
        <v>74777.383377525432</v>
      </c>
      <c r="Q441" s="31">
        <v>75457.923185853942</v>
      </c>
      <c r="R441" s="31">
        <v>76131.587188850375</v>
      </c>
      <c r="S441" s="31">
        <v>76797.350352367343</v>
      </c>
      <c r="T441" s="31">
        <v>77454.132328433348</v>
      </c>
      <c r="U441" s="31">
        <v>78100.795058954216</v>
      </c>
      <c r="V441" s="31">
        <v>78736.140285418733</v>
      </c>
      <c r="W441" s="31">
        <v>78272.637801870806</v>
      </c>
      <c r="X441" s="31">
        <v>78848.911328294023</v>
      </c>
    </row>
    <row r="442" spans="1:24">
      <c r="A442" s="260" t="s">
        <v>382</v>
      </c>
      <c r="B442" s="305">
        <f>NPV(0.1,D442:Y442)</f>
        <v>248196.71650021707</v>
      </c>
      <c r="C442" s="305">
        <f>B442-B432</f>
        <v>-76.917110809270525</v>
      </c>
      <c r="D442" s="309">
        <v>26206.93028343582</v>
      </c>
      <c r="E442" s="310">
        <v>27742.610086963185</v>
      </c>
      <c r="F442" s="310">
        <v>27893.225018886238</v>
      </c>
      <c r="G442" s="310">
        <v>28113.912650081948</v>
      </c>
      <c r="H442" s="310">
        <v>28336.999109280281</v>
      </c>
      <c r="I442" s="310">
        <v>28463.023893066591</v>
      </c>
      <c r="J442" s="310">
        <v>28650.020242472929</v>
      </c>
      <c r="K442" s="310">
        <v>28842.626482361451</v>
      </c>
      <c r="L442" s="310">
        <v>29041.010909446632</v>
      </c>
      <c r="M442" s="310">
        <v>29189.821799338111</v>
      </c>
      <c r="N442" s="311">
        <v>29400.287838032778</v>
      </c>
      <c r="O442" s="31">
        <v>29617.067857888287</v>
      </c>
      <c r="P442" s="31">
        <v>29840.351278339458</v>
      </c>
      <c r="Q442" s="31">
        <v>30014.808131397916</v>
      </c>
      <c r="R442" s="31">
        <v>30251.689512154564</v>
      </c>
      <c r="S442" s="31">
        <v>30495.677334333915</v>
      </c>
      <c r="T442" s="31">
        <v>30746.984791178642</v>
      </c>
      <c r="U442" s="31">
        <v>30950.306401722457</v>
      </c>
      <c r="V442" s="31">
        <v>31216.918482689034</v>
      </c>
      <c r="W442" s="31">
        <v>31491.528926084608</v>
      </c>
      <c r="X442" s="31">
        <v>31774.37768278204</v>
      </c>
    </row>
    <row r="443" spans="1:24">
      <c r="A443" s="260" t="s">
        <v>35</v>
      </c>
      <c r="B443" s="305">
        <f>NPV(0.1,D443:Y443)</f>
        <v>106762.54970059884</v>
      </c>
      <c r="C443" s="305">
        <f>B443-B433</f>
        <v>-2307.7927588251769</v>
      </c>
      <c r="D443" s="309">
        <v>2184.9059332010656</v>
      </c>
      <c r="E443" s="310">
        <v>3632.0522565647016</v>
      </c>
      <c r="F443" s="310">
        <v>3786.5283541982567</v>
      </c>
      <c r="G443" s="310">
        <v>9130.2037375656691</v>
      </c>
      <c r="H443" s="310">
        <v>13052.914524186759</v>
      </c>
      <c r="I443" s="310">
        <v>14136.123656364656</v>
      </c>
      <c r="J443" s="310">
        <v>14315.437211422273</v>
      </c>
      <c r="K443" s="310">
        <v>14870.923652246705</v>
      </c>
      <c r="L443" s="310">
        <v>15451.15026757857</v>
      </c>
      <c r="M443" s="310">
        <v>16091.680839223147</v>
      </c>
      <c r="N443" s="311">
        <v>16727.524366770129</v>
      </c>
      <c r="O443" s="31">
        <v>17393.527476328713</v>
      </c>
      <c r="P443" s="31">
        <v>18091.762353811268</v>
      </c>
      <c r="Q443" s="31">
        <v>18858.383852017363</v>
      </c>
      <c r="R443" s="31">
        <v>19629.040046587957</v>
      </c>
      <c r="S443" s="31">
        <v>20439.268535738345</v>
      </c>
      <c r="T443" s="31">
        <v>21291.888578207945</v>
      </c>
      <c r="U443" s="31">
        <v>22223.862743869609</v>
      </c>
      <c r="V443" s="31">
        <v>23171.71237927832</v>
      </c>
      <c r="W443" s="31">
        <v>23508.348205957569</v>
      </c>
      <c r="X443" s="31">
        <v>24550.268653222698</v>
      </c>
    </row>
    <row r="444" spans="1:24">
      <c r="A444" s="260" t="s">
        <v>32</v>
      </c>
      <c r="B444" s="305">
        <f>NPV(0.1,D444:Y444)</f>
        <v>136456.6878437032</v>
      </c>
      <c r="C444" s="305">
        <f>B444-B434</f>
        <v>-1886.1658502117207</v>
      </c>
      <c r="D444" s="312">
        <v>5363.598096978445</v>
      </c>
      <c r="E444" s="313">
        <v>9526.5028534940102</v>
      </c>
      <c r="F444" s="313">
        <v>9038.4365978240057</v>
      </c>
      <c r="G444" s="313">
        <v>21152.762792934394</v>
      </c>
      <c r="H444" s="313">
        <v>25023.70900975843</v>
      </c>
      <c r="I444" s="313">
        <v>20494.093726971103</v>
      </c>
      <c r="J444" s="313">
        <v>18944.177456149155</v>
      </c>
      <c r="K444" s="313">
        <v>18900.809232787844</v>
      </c>
      <c r="L444" s="313">
        <v>18818.20178704814</v>
      </c>
      <c r="M444" s="313">
        <v>18687.606048491532</v>
      </c>
      <c r="N444" s="314">
        <v>18613.013054648989</v>
      </c>
      <c r="O444" s="31">
        <v>18475.03512895896</v>
      </c>
      <c r="P444" s="31">
        <v>18290.476960096486</v>
      </c>
      <c r="Q444" s="31">
        <v>18050.075688830839</v>
      </c>
      <c r="R444" s="31">
        <v>17857.271665389882</v>
      </c>
      <c r="S444" s="31">
        <v>14875.731035245084</v>
      </c>
      <c r="T444" s="31">
        <v>11856.335073611379</v>
      </c>
      <c r="U444" s="31">
        <v>11459.613509033974</v>
      </c>
      <c r="V444" s="31">
        <v>11117.807091189134</v>
      </c>
      <c r="W444" s="31">
        <v>10444.385733724375</v>
      </c>
      <c r="X444" s="31">
        <v>28768.89280165108</v>
      </c>
    </row>
    <row r="446" spans="1:24">
      <c r="A446" s="29" t="s">
        <v>639</v>
      </c>
    </row>
    <row r="447" spans="1:24">
      <c r="A447" s="261">
        <v>36286</v>
      </c>
    </row>
    <row r="448" spans="1:24">
      <c r="A448" s="254" t="s">
        <v>379</v>
      </c>
      <c r="B448" s="255">
        <v>47013.055611967939</v>
      </c>
      <c r="C448" s="256"/>
      <c r="D448" s="256"/>
      <c r="E448" s="256"/>
      <c r="F448" s="256"/>
      <c r="G448" s="256"/>
      <c r="H448" s="256"/>
      <c r="I448" s="256"/>
      <c r="J448" s="256"/>
      <c r="K448" s="256"/>
      <c r="L448" s="256"/>
      <c r="M448" s="256"/>
      <c r="N448" s="256"/>
      <c r="O448" s="256"/>
      <c r="P448" s="256"/>
      <c r="Q448" s="256"/>
      <c r="R448" s="256"/>
      <c r="S448" s="256"/>
      <c r="T448" s="256"/>
      <c r="U448" s="256"/>
      <c r="V448" s="256"/>
    </row>
    <row r="449" spans="1:24">
      <c r="A449" s="257" t="s">
        <v>380</v>
      </c>
      <c r="B449" s="258">
        <v>83580.709973490768</v>
      </c>
      <c r="C449" s="256"/>
      <c r="D449" s="256"/>
      <c r="E449" s="256"/>
      <c r="F449" s="256"/>
      <c r="G449" s="256"/>
      <c r="H449" s="256"/>
      <c r="I449" s="256"/>
      <c r="J449" s="256"/>
      <c r="K449" s="256"/>
      <c r="L449" s="256"/>
      <c r="M449" s="256"/>
      <c r="N449" s="256"/>
      <c r="O449" s="256"/>
      <c r="P449" s="256"/>
      <c r="Q449" s="256"/>
      <c r="R449" s="256"/>
      <c r="S449" s="256"/>
      <c r="T449" s="256"/>
      <c r="U449" s="256"/>
      <c r="V449" s="256"/>
    </row>
    <row r="450" spans="1:24">
      <c r="A450" s="259" t="s">
        <v>383</v>
      </c>
      <c r="B450" s="304" t="s">
        <v>483</v>
      </c>
      <c r="C450" s="304" t="s">
        <v>484</v>
      </c>
      <c r="D450" s="306">
        <v>2000</v>
      </c>
      <c r="E450" s="307">
        <v>2001</v>
      </c>
      <c r="F450" s="307">
        <v>2002</v>
      </c>
      <c r="G450" s="307">
        <v>2003</v>
      </c>
      <c r="H450" s="307">
        <v>2004</v>
      </c>
      <c r="I450" s="307">
        <v>2005</v>
      </c>
      <c r="J450" s="307">
        <v>2006</v>
      </c>
      <c r="K450" s="307">
        <v>2007</v>
      </c>
      <c r="L450" s="307">
        <v>2008</v>
      </c>
      <c r="M450" s="307">
        <v>2009</v>
      </c>
      <c r="N450" s="308">
        <v>2010</v>
      </c>
      <c r="O450" s="256">
        <v>2011</v>
      </c>
      <c r="P450" s="256">
        <v>2012</v>
      </c>
      <c r="Q450" s="256">
        <v>2013</v>
      </c>
      <c r="R450" s="256">
        <v>2014</v>
      </c>
      <c r="S450" s="256">
        <v>2015</v>
      </c>
      <c r="T450" s="256">
        <v>2016</v>
      </c>
      <c r="U450" s="256">
        <v>2017</v>
      </c>
      <c r="V450" s="256">
        <v>2018</v>
      </c>
      <c r="W450" s="256">
        <v>2019</v>
      </c>
      <c r="X450" s="256">
        <v>2020</v>
      </c>
    </row>
    <row r="451" spans="1:24">
      <c r="A451" s="259" t="s">
        <v>381</v>
      </c>
      <c r="B451" s="305">
        <f>NPV(0.1,D451:Y451)</f>
        <v>554469.07771273819</v>
      </c>
      <c r="C451" s="305">
        <f>B451-B441</f>
        <v>-12646.558329759166</v>
      </c>
      <c r="D451" s="309">
        <v>41364.1276</v>
      </c>
      <c r="E451" s="310">
        <v>53599.168868000001</v>
      </c>
      <c r="F451" s="310">
        <v>53676.461374039995</v>
      </c>
      <c r="G451" s="310">
        <v>61465.571098695575</v>
      </c>
      <c r="H451" s="310">
        <v>67464.240070386601</v>
      </c>
      <c r="I451" s="310">
        <v>68845.678958898192</v>
      </c>
      <c r="J451" s="310">
        <v>68789.168134888896</v>
      </c>
      <c r="K451" s="310">
        <v>69448.467532559807</v>
      </c>
      <c r="L451" s="310">
        <v>70104.689292177572</v>
      </c>
      <c r="M451" s="310">
        <v>70757.055386001099</v>
      </c>
      <c r="N451" s="311">
        <v>71404.74387449905</v>
      </c>
      <c r="O451" s="31">
        <v>72046.886971867512</v>
      </c>
      <c r="P451" s="31">
        <v>72682.569034999018</v>
      </c>
      <c r="Q451" s="31">
        <v>73310.824473051747</v>
      </c>
      <c r="R451" s="31">
        <v>73930.63557466412</v>
      </c>
      <c r="S451" s="31">
        <v>74540.930249755504</v>
      </c>
      <c r="T451" s="31">
        <v>75140.579682743162</v>
      </c>
      <c r="U451" s="31">
        <v>75728.395893893321</v>
      </c>
      <c r="V451" s="31">
        <v>76303.129205405989</v>
      </c>
      <c r="W451" s="31">
        <v>75777.196449457682</v>
      </c>
      <c r="X451" s="31">
        <v>76289.166795308527</v>
      </c>
    </row>
    <row r="452" spans="1:24">
      <c r="A452" s="260" t="s">
        <v>382</v>
      </c>
      <c r="B452" s="305">
        <f>NPV(0.1,D452:Y452)</f>
        <v>245368.15979028933</v>
      </c>
      <c r="C452" s="305">
        <f>B452-B442</f>
        <v>-2828.5567099277396</v>
      </c>
      <c r="D452" s="309">
        <v>25862.056191615913</v>
      </c>
      <c r="E452" s="310">
        <v>27395.360025749913</v>
      </c>
      <c r="F452" s="310">
        <v>27545.974957672966</v>
      </c>
      <c r="G452" s="310">
        <v>27878.965638535399</v>
      </c>
      <c r="H452" s="310">
        <v>28004.343844952826</v>
      </c>
      <c r="I452" s="310">
        <v>28130.806472645701</v>
      </c>
      <c r="J452" s="310">
        <v>28318.253801275809</v>
      </c>
      <c r="K452" s="310">
        <v>28511.324549764817</v>
      </c>
      <c r="L452" s="310">
        <v>28710.187420708495</v>
      </c>
      <c r="M452" s="310">
        <v>28859.491107774229</v>
      </c>
      <c r="N452" s="311">
        <v>29070.464727558381</v>
      </c>
      <c r="O452" s="31">
        <v>29287.767555936054</v>
      </c>
      <c r="P452" s="31">
        <v>29511.589469165057</v>
      </c>
      <c r="Q452" s="31">
        <v>29686.600969784678</v>
      </c>
      <c r="R452" s="31">
        <v>29924.05363752933</v>
      </c>
      <c r="S452" s="31">
        <v>30168.62988530632</v>
      </c>
      <c r="T452" s="31">
        <v>30420.54342051662</v>
      </c>
      <c r="U452" s="31">
        <v>30624.489291776976</v>
      </c>
      <c r="V452" s="31">
        <v>30891.74436128158</v>
      </c>
      <c r="W452" s="31">
        <v>31167.017082871327</v>
      </c>
      <c r="X452" s="31">
        <v>31450.547986108766</v>
      </c>
    </row>
    <row r="453" spans="1:24">
      <c r="A453" s="260" t="s">
        <v>35</v>
      </c>
      <c r="B453" s="305">
        <f>NPV(0.1,D453:Y453)</f>
        <v>102711.90827747314</v>
      </c>
      <c r="C453" s="305">
        <f>B453-B443</f>
        <v>-4050.6414231257077</v>
      </c>
      <c r="D453" s="309">
        <v>2316.7797458566188</v>
      </c>
      <c r="E453" s="310">
        <v>3872.9867847285732</v>
      </c>
      <c r="F453" s="310">
        <v>4046.1574145228387</v>
      </c>
      <c r="G453" s="310">
        <v>8833.4565744061383</v>
      </c>
      <c r="H453" s="310">
        <v>12487.583914523591</v>
      </c>
      <c r="I453" s="310">
        <v>13541.274387399806</v>
      </c>
      <c r="J453" s="310">
        <v>13689.176504643983</v>
      </c>
      <c r="K453" s="310">
        <v>14211.2213682892</v>
      </c>
      <c r="L453" s="310">
        <v>14755.828339196627</v>
      </c>
      <c r="M453" s="310">
        <v>15358.40187155977</v>
      </c>
      <c r="N453" s="311">
        <v>15953.779338680693</v>
      </c>
      <c r="O453" s="31">
        <v>16576.622471236959</v>
      </c>
      <c r="P453" s="31">
        <v>17228.804242862549</v>
      </c>
      <c r="Q453" s="31">
        <v>17946.26484612787</v>
      </c>
      <c r="R453" s="31">
        <v>18664.421027328677</v>
      </c>
      <c r="S453" s="31">
        <v>19418.561067800947</v>
      </c>
      <c r="T453" s="31">
        <v>20211.235498432266</v>
      </c>
      <c r="U453" s="31">
        <v>21079.117213424695</v>
      </c>
      <c r="V453" s="31">
        <v>21958.415276530221</v>
      </c>
      <c r="W453" s="31">
        <v>22221.703727774224</v>
      </c>
      <c r="X453" s="31">
        <v>23185.117981901043</v>
      </c>
    </row>
    <row r="454" spans="1:24">
      <c r="A454" s="260" t="s">
        <v>32</v>
      </c>
      <c r="B454" s="305">
        <f>NPV(0.1,D454:Y454)</f>
        <v>133044.91208075246</v>
      </c>
      <c r="C454" s="305">
        <f>B454-B444</f>
        <v>-3411.7757629507396</v>
      </c>
      <c r="D454" s="312">
        <v>5361.1330287328292</v>
      </c>
      <c r="E454" s="313">
        <v>9524.8594746636008</v>
      </c>
      <c r="F454" s="313">
        <v>9036.7932189935964</v>
      </c>
      <c r="G454" s="313">
        <v>20571.795844348115</v>
      </c>
      <c r="H454" s="313">
        <v>24169.186438078184</v>
      </c>
      <c r="I454" s="313">
        <v>20151.894277866635</v>
      </c>
      <c r="J454" s="313">
        <v>18449.089048793885</v>
      </c>
      <c r="K454" s="313">
        <v>18400.601779738776</v>
      </c>
      <c r="L454" s="313">
        <v>18313.497265163009</v>
      </c>
      <c r="M454" s="313">
        <v>18179.10060233454</v>
      </c>
      <c r="N454" s="314">
        <v>18101.496733109154</v>
      </c>
      <c r="O454" s="31">
        <v>17961.387473063827</v>
      </c>
      <c r="P454" s="31">
        <v>17775.688021945036</v>
      </c>
      <c r="Q454" s="31">
        <v>17535.243005997909</v>
      </c>
      <c r="R454" s="31">
        <v>17343.622779118465</v>
      </c>
      <c r="S454" s="31">
        <v>14365.080236521244</v>
      </c>
      <c r="T454" s="31">
        <v>11350.188276911676</v>
      </c>
      <c r="U454" s="31">
        <v>10959.179576993862</v>
      </c>
      <c r="V454" s="31">
        <v>10624.924976762009</v>
      </c>
      <c r="W454" s="31">
        <v>9961.0829638133473</v>
      </c>
      <c r="X454" s="31">
        <v>27403.035872231427</v>
      </c>
    </row>
    <row r="456" spans="1:24">
      <c r="A456" s="29" t="s">
        <v>648</v>
      </c>
    </row>
    <row r="457" spans="1:24">
      <c r="A457" s="261">
        <v>43964</v>
      </c>
    </row>
    <row r="458" spans="1:24">
      <c r="A458" s="254" t="s">
        <v>379</v>
      </c>
      <c r="B458" s="255">
        <v>45334.363153143735</v>
      </c>
      <c r="C458" s="256"/>
      <c r="D458" s="256"/>
      <c r="E458" s="256"/>
      <c r="F458" s="256"/>
      <c r="G458" s="256"/>
      <c r="H458" s="256"/>
      <c r="I458" s="256"/>
      <c r="J458" s="256"/>
      <c r="K458" s="256"/>
      <c r="L458" s="256"/>
      <c r="M458" s="256"/>
      <c r="N458" s="256"/>
      <c r="O458" s="256"/>
      <c r="P458" s="256"/>
      <c r="Q458" s="256"/>
      <c r="R458" s="256"/>
      <c r="S458" s="256"/>
      <c r="T458" s="256"/>
      <c r="U458" s="256"/>
      <c r="V458" s="256"/>
    </row>
    <row r="459" spans="1:24">
      <c r="A459" s="257" t="s">
        <v>380</v>
      </c>
      <c r="B459" s="258">
        <v>80798.331409812192</v>
      </c>
      <c r="C459" s="256"/>
      <c r="D459" s="256"/>
      <c r="E459" s="256"/>
      <c r="F459" s="256"/>
      <c r="G459" s="256"/>
      <c r="H459" s="256"/>
      <c r="I459" s="256"/>
      <c r="J459" s="256"/>
      <c r="K459" s="256"/>
      <c r="L459" s="256"/>
      <c r="M459" s="256"/>
      <c r="N459" s="256"/>
      <c r="O459" s="256"/>
      <c r="P459" s="256"/>
      <c r="Q459" s="256"/>
      <c r="R459" s="256"/>
      <c r="S459" s="256"/>
      <c r="T459" s="256"/>
      <c r="U459" s="256"/>
      <c r="V459" s="256"/>
    </row>
    <row r="460" spans="1:24">
      <c r="A460" s="259" t="s">
        <v>383</v>
      </c>
      <c r="B460" s="304" t="s">
        <v>483</v>
      </c>
      <c r="C460" s="304" t="s">
        <v>484</v>
      </c>
      <c r="D460" s="306">
        <v>2000</v>
      </c>
      <c r="E460" s="307">
        <v>2001</v>
      </c>
      <c r="F460" s="307">
        <v>2002</v>
      </c>
      <c r="G460" s="307">
        <v>2003</v>
      </c>
      <c r="H460" s="307">
        <v>2004</v>
      </c>
      <c r="I460" s="307">
        <v>2005</v>
      </c>
      <c r="J460" s="307">
        <v>2006</v>
      </c>
      <c r="K460" s="307">
        <v>2007</v>
      </c>
      <c r="L460" s="307">
        <v>2008</v>
      </c>
      <c r="M460" s="307">
        <v>2009</v>
      </c>
      <c r="N460" s="308">
        <v>2010</v>
      </c>
      <c r="O460" s="256">
        <v>2011</v>
      </c>
      <c r="P460" s="256">
        <v>2012</v>
      </c>
      <c r="Q460" s="256">
        <v>2013</v>
      </c>
      <c r="R460" s="256">
        <v>2014</v>
      </c>
      <c r="S460" s="256">
        <v>2015</v>
      </c>
      <c r="T460" s="256">
        <v>2016</v>
      </c>
      <c r="U460" s="256">
        <v>2017</v>
      </c>
      <c r="V460" s="256">
        <v>2018</v>
      </c>
      <c r="W460" s="256">
        <v>2019</v>
      </c>
      <c r="X460" s="256">
        <v>2020</v>
      </c>
    </row>
    <row r="461" spans="1:24">
      <c r="A461" s="259" t="s">
        <v>381</v>
      </c>
      <c r="B461" s="305">
        <f>NPV(0.1,D461:Y461)</f>
        <v>548561.39098961139</v>
      </c>
      <c r="C461" s="305">
        <f>B461-B451</f>
        <v>-5907.686723126797</v>
      </c>
      <c r="D461" s="309">
        <v>41364.1276</v>
      </c>
      <c r="E461" s="310">
        <v>53599.168868000001</v>
      </c>
      <c r="F461" s="310">
        <v>53676.461374039995</v>
      </c>
      <c r="G461" s="310">
        <v>61465.571098695575</v>
      </c>
      <c r="H461" s="310">
        <v>67464.240070386601</v>
      </c>
      <c r="I461" s="310">
        <v>68845.678958898192</v>
      </c>
      <c r="J461" s="310">
        <v>68789.168134888896</v>
      </c>
      <c r="K461" s="310">
        <v>69448.467532559807</v>
      </c>
      <c r="L461" s="310">
        <v>70104.689292177572</v>
      </c>
      <c r="M461" s="310">
        <v>70757.055386001099</v>
      </c>
      <c r="N461" s="311">
        <v>71404.74387449905</v>
      </c>
      <c r="O461" s="31">
        <v>72046.886971867512</v>
      </c>
      <c r="P461" s="31">
        <v>72682.569034999018</v>
      </c>
      <c r="Q461" s="31">
        <v>73310.824473051747</v>
      </c>
      <c r="R461" s="31">
        <v>73930.63557466412</v>
      </c>
      <c r="S461" s="31">
        <v>74540.930249755504</v>
      </c>
      <c r="T461" s="31">
        <v>75140.579682743162</v>
      </c>
      <c r="U461" s="31">
        <v>75728.395893893321</v>
      </c>
      <c r="V461" s="31">
        <v>76303.129205405989</v>
      </c>
      <c r="W461" s="31">
        <v>75777.196449457682</v>
      </c>
      <c r="X461" s="31">
        <v>32570.808451795041</v>
      </c>
    </row>
    <row r="462" spans="1:24">
      <c r="A462" s="260" t="s">
        <v>382</v>
      </c>
      <c r="B462" s="305">
        <f>NPV(0.1,D462:Y462)</f>
        <v>243293.40601255739</v>
      </c>
      <c r="C462" s="305">
        <f>B462-B452</f>
        <v>-2074.7537777319376</v>
      </c>
      <c r="D462" s="309">
        <v>25862.056191615913</v>
      </c>
      <c r="E462" s="310">
        <v>27395.360025749913</v>
      </c>
      <c r="F462" s="310">
        <v>27545.974957672966</v>
      </c>
      <c r="G462" s="310">
        <v>27878.965638535399</v>
      </c>
      <c r="H462" s="310">
        <v>28004.343844952826</v>
      </c>
      <c r="I462" s="310">
        <v>28130.806472645701</v>
      </c>
      <c r="J462" s="310">
        <v>28318.253801275809</v>
      </c>
      <c r="K462" s="310">
        <v>28511.324549764817</v>
      </c>
      <c r="L462" s="310">
        <v>28710.187420708495</v>
      </c>
      <c r="M462" s="310">
        <v>28859.491107774229</v>
      </c>
      <c r="N462" s="311">
        <v>29070.464727558381</v>
      </c>
      <c r="O462" s="31">
        <v>29287.767555936054</v>
      </c>
      <c r="P462" s="31">
        <v>29511.589469165057</v>
      </c>
      <c r="Q462" s="31">
        <v>29686.600969784678</v>
      </c>
      <c r="R462" s="31">
        <v>29924.05363752933</v>
      </c>
      <c r="S462" s="31">
        <v>30168.62988530632</v>
      </c>
      <c r="T462" s="31">
        <v>30420.54342051662</v>
      </c>
      <c r="U462" s="31">
        <v>30624.489291776976</v>
      </c>
      <c r="V462" s="31">
        <v>30891.74436128158</v>
      </c>
      <c r="W462" s="31">
        <v>31167.017082871327</v>
      </c>
      <c r="X462" s="31">
        <v>16096.851458098601</v>
      </c>
    </row>
    <row r="463" spans="1:24">
      <c r="A463" s="260" t="s">
        <v>35</v>
      </c>
      <c r="B463" s="305">
        <f>NPV(0.1,D463:Y463)</f>
        <v>100370.47830060378</v>
      </c>
      <c r="C463" s="305">
        <f>B463-B453</f>
        <v>-2341.42997686936</v>
      </c>
      <c r="D463" s="309">
        <v>2316.7797458566188</v>
      </c>
      <c r="E463" s="310">
        <v>3872.9867847285732</v>
      </c>
      <c r="F463" s="310">
        <v>4046.1574145228387</v>
      </c>
      <c r="G463" s="310">
        <v>8833.4565744061383</v>
      </c>
      <c r="H463" s="310">
        <v>12487.583914523591</v>
      </c>
      <c r="I463" s="310">
        <v>13541.274387399806</v>
      </c>
      <c r="J463" s="310">
        <v>13689.176504643983</v>
      </c>
      <c r="K463" s="310">
        <v>14211.2213682892</v>
      </c>
      <c r="L463" s="310">
        <v>14755.828339196627</v>
      </c>
      <c r="M463" s="310">
        <v>15358.40187155977</v>
      </c>
      <c r="N463" s="311">
        <v>15953.779338680693</v>
      </c>
      <c r="O463" s="31">
        <v>16576.622471236959</v>
      </c>
      <c r="P463" s="31">
        <v>17228.804242862549</v>
      </c>
      <c r="Q463" s="31">
        <v>17946.26484612787</v>
      </c>
      <c r="R463" s="31">
        <v>18664.421027328677</v>
      </c>
      <c r="S463" s="31">
        <v>19418.561067800947</v>
      </c>
      <c r="T463" s="31">
        <v>20211.235498432266</v>
      </c>
      <c r="U463" s="31">
        <v>21079.117213424695</v>
      </c>
      <c r="V463" s="31">
        <v>21958.415276530221</v>
      </c>
      <c r="W463" s="31">
        <v>22221.703727774224</v>
      </c>
      <c r="X463" s="31">
        <v>5857.9509260890791</v>
      </c>
    </row>
    <row r="464" spans="1:24">
      <c r="A464" s="260" t="s">
        <v>32</v>
      </c>
      <c r="B464" s="305">
        <f>NPV(0.1,D464:Y464)</f>
        <v>130703.4821038831</v>
      </c>
      <c r="C464" s="305">
        <f>B464-B454</f>
        <v>-2341.42997686936</v>
      </c>
      <c r="D464" s="312">
        <v>5361.1330287328292</v>
      </c>
      <c r="E464" s="313">
        <v>9524.8594746636008</v>
      </c>
      <c r="F464" s="313">
        <v>9036.7932189935964</v>
      </c>
      <c r="G464" s="313">
        <v>20571.795844348115</v>
      </c>
      <c r="H464" s="313">
        <v>24169.186438078184</v>
      </c>
      <c r="I464" s="313">
        <v>20151.894277866635</v>
      </c>
      <c r="J464" s="313">
        <v>18449.089048793885</v>
      </c>
      <c r="K464" s="313">
        <v>18400.601779738776</v>
      </c>
      <c r="L464" s="313">
        <v>18313.497265163009</v>
      </c>
      <c r="M464" s="313">
        <v>18179.10060233454</v>
      </c>
      <c r="N464" s="314">
        <v>18101.496733109154</v>
      </c>
      <c r="O464" s="31">
        <v>17961.387473063827</v>
      </c>
      <c r="P464" s="31">
        <v>17775.688021945036</v>
      </c>
      <c r="Q464" s="31">
        <v>17535.243005997909</v>
      </c>
      <c r="R464" s="31">
        <v>17343.622779118465</v>
      </c>
      <c r="S464" s="31">
        <v>14365.080236521244</v>
      </c>
      <c r="T464" s="31">
        <v>11350.188276911676</v>
      </c>
      <c r="U464" s="31">
        <v>10959.179576993862</v>
      </c>
      <c r="V464" s="31">
        <v>10624.924976762009</v>
      </c>
      <c r="W464" s="31">
        <v>9961.0829638133473</v>
      </c>
      <c r="X464" s="31">
        <v>10075.868816419461</v>
      </c>
    </row>
    <row r="466" spans="1:24">
      <c r="A466" s="29" t="s">
        <v>649</v>
      </c>
    </row>
    <row r="467" spans="1:24">
      <c r="A467" s="261">
        <v>36298</v>
      </c>
    </row>
    <row r="468" spans="1:24">
      <c r="A468" s="254" t="s">
        <v>379</v>
      </c>
      <c r="B468" s="255">
        <v>45334.261562625688</v>
      </c>
      <c r="C468" s="256"/>
      <c r="D468" s="256"/>
      <c r="E468" s="256"/>
      <c r="F468" s="256"/>
      <c r="G468" s="256"/>
      <c r="H468" s="256"/>
      <c r="I468" s="256"/>
      <c r="J468" s="256"/>
      <c r="K468" s="256"/>
      <c r="L468" s="256"/>
      <c r="M468" s="256"/>
      <c r="N468" s="256"/>
      <c r="O468" s="256"/>
      <c r="P468" s="256"/>
      <c r="Q468" s="256"/>
      <c r="R468" s="256"/>
      <c r="S468" s="256"/>
      <c r="T468" s="256"/>
      <c r="U468" s="256"/>
      <c r="V468" s="256"/>
    </row>
    <row r="469" spans="1:24">
      <c r="A469" s="257" t="s">
        <v>380</v>
      </c>
      <c r="B469" s="258">
        <v>80798.210267966308</v>
      </c>
      <c r="C469" s="256"/>
      <c r="D469" s="256"/>
      <c r="E469" s="256"/>
      <c r="F469" s="256"/>
      <c r="G469" s="256"/>
      <c r="H469" s="256"/>
      <c r="I469" s="256"/>
      <c r="J469" s="256"/>
      <c r="K469" s="256"/>
      <c r="L469" s="256"/>
      <c r="M469" s="256"/>
      <c r="N469" s="256"/>
      <c r="O469" s="256"/>
      <c r="P469" s="256"/>
      <c r="Q469" s="256"/>
      <c r="R469" s="256"/>
      <c r="S469" s="256"/>
      <c r="T469" s="256"/>
      <c r="U469" s="256"/>
      <c r="V469" s="256"/>
    </row>
    <row r="470" spans="1:24">
      <c r="A470" s="259" t="s">
        <v>383</v>
      </c>
      <c r="B470" s="304" t="s">
        <v>483</v>
      </c>
      <c r="C470" s="304" t="s">
        <v>484</v>
      </c>
      <c r="D470" s="306">
        <v>2000</v>
      </c>
      <c r="E470" s="307">
        <v>2001</v>
      </c>
      <c r="F470" s="307">
        <v>2002</v>
      </c>
      <c r="G470" s="307">
        <v>2003</v>
      </c>
      <c r="H470" s="307">
        <v>2004</v>
      </c>
      <c r="I470" s="307">
        <v>2005</v>
      </c>
      <c r="J470" s="307">
        <v>2006</v>
      </c>
      <c r="K470" s="307">
        <v>2007</v>
      </c>
      <c r="L470" s="307">
        <v>2008</v>
      </c>
      <c r="M470" s="307">
        <v>2009</v>
      </c>
      <c r="N470" s="308">
        <v>2010</v>
      </c>
      <c r="O470" s="256">
        <v>2011</v>
      </c>
      <c r="P470" s="256">
        <v>2012</v>
      </c>
      <c r="Q470" s="256">
        <v>2013</v>
      </c>
      <c r="R470" s="256">
        <v>2014</v>
      </c>
      <c r="S470" s="256">
        <v>2015</v>
      </c>
      <c r="T470" s="256">
        <v>2016</v>
      </c>
      <c r="U470" s="256">
        <v>2017</v>
      </c>
      <c r="V470" s="256">
        <v>2018</v>
      </c>
      <c r="W470" s="256">
        <v>2019</v>
      </c>
      <c r="X470" s="256">
        <v>2020</v>
      </c>
    </row>
    <row r="471" spans="1:24">
      <c r="A471" s="259" t="s">
        <v>381</v>
      </c>
      <c r="B471" s="305">
        <f>NPV(0.1,D471:Y471)</f>
        <v>548561.39098961139</v>
      </c>
      <c r="C471" s="305">
        <f>B471-B461</f>
        <v>0</v>
      </c>
      <c r="D471" s="309">
        <v>41364.1276</v>
      </c>
      <c r="E471" s="310">
        <v>53599.168868000001</v>
      </c>
      <c r="F471" s="310">
        <v>53676.461374039995</v>
      </c>
      <c r="G471" s="310">
        <v>61465.571098695575</v>
      </c>
      <c r="H471" s="310">
        <v>67464.240070386601</v>
      </c>
      <c r="I471" s="310">
        <v>68845.678958898192</v>
      </c>
      <c r="J471" s="310">
        <v>68789.168134888896</v>
      </c>
      <c r="K471" s="310">
        <v>69448.467532559807</v>
      </c>
      <c r="L471" s="310">
        <v>70104.689292177572</v>
      </c>
      <c r="M471" s="310">
        <v>70757.055386001099</v>
      </c>
      <c r="N471" s="311">
        <v>71404.74387449905</v>
      </c>
      <c r="O471" s="31">
        <v>72046.886971867512</v>
      </c>
      <c r="P471" s="31">
        <v>72682.569034999018</v>
      </c>
      <c r="Q471" s="31">
        <v>73310.824473051747</v>
      </c>
      <c r="R471" s="31">
        <v>73930.63557466412</v>
      </c>
      <c r="S471" s="31">
        <v>74540.930249755504</v>
      </c>
      <c r="T471" s="31">
        <v>75140.579682743162</v>
      </c>
      <c r="U471" s="31">
        <v>75728.395893893321</v>
      </c>
      <c r="V471" s="31">
        <v>76303.129205405989</v>
      </c>
      <c r="W471" s="31">
        <v>75777.196449457682</v>
      </c>
      <c r="X471" s="31">
        <v>32570.808451795041</v>
      </c>
    </row>
    <row r="472" spans="1:24">
      <c r="A472" s="260" t="s">
        <v>382</v>
      </c>
      <c r="B472" s="305">
        <f>NPV(0.1,D472:Y472)</f>
        <v>243293.40711052841</v>
      </c>
      <c r="C472" s="305">
        <f>B472-B462</f>
        <v>1.0979710204992443E-3</v>
      </c>
      <c r="D472" s="309">
        <v>25862.056372535731</v>
      </c>
      <c r="E472" s="310">
        <v>27395.360146363124</v>
      </c>
      <c r="F472" s="310">
        <v>27545.975078286177</v>
      </c>
      <c r="G472" s="310">
        <v>27878.96575914861</v>
      </c>
      <c r="H472" s="310">
        <v>28004.343965566037</v>
      </c>
      <c r="I472" s="310">
        <v>28130.806593258912</v>
      </c>
      <c r="J472" s="310">
        <v>28318.25392188902</v>
      </c>
      <c r="K472" s="310">
        <v>28511.324670378028</v>
      </c>
      <c r="L472" s="310">
        <v>28710.187541321706</v>
      </c>
      <c r="M472" s="310">
        <v>28859.49122838744</v>
      </c>
      <c r="N472" s="311">
        <v>29070.464848171592</v>
      </c>
      <c r="O472" s="31">
        <v>29287.767676549265</v>
      </c>
      <c r="P472" s="31">
        <v>29511.589589778268</v>
      </c>
      <c r="Q472" s="31">
        <v>29686.601090397889</v>
      </c>
      <c r="R472" s="31">
        <v>29924.053758142541</v>
      </c>
      <c r="S472" s="31">
        <v>30168.630005919531</v>
      </c>
      <c r="T472" s="31">
        <v>30420.543541129831</v>
      </c>
      <c r="U472" s="31">
        <v>30624.489412390187</v>
      </c>
      <c r="V472" s="31">
        <v>30891.744481894792</v>
      </c>
      <c r="W472" s="31">
        <v>31167.017203484538</v>
      </c>
      <c r="X472" s="31">
        <v>16096.851578711812</v>
      </c>
    </row>
    <row r="473" spans="1:24">
      <c r="A473" s="260" t="s">
        <v>35</v>
      </c>
      <c r="B473" s="305">
        <f>NPV(0.1,D473:Y473)</f>
        <v>100370.45981764821</v>
      </c>
      <c r="C473" s="305">
        <f>B473-B463</f>
        <v>-1.8482955565559678E-2</v>
      </c>
      <c r="D473" s="309">
        <v>2316.7783854576983</v>
      </c>
      <c r="E473" s="310">
        <v>3872.9845640843259</v>
      </c>
      <c r="F473" s="310">
        <v>4046.1551920581092</v>
      </c>
      <c r="G473" s="310">
        <v>8833.4543499798347</v>
      </c>
      <c r="H473" s="310">
        <v>12487.581689467937</v>
      </c>
      <c r="I473" s="310">
        <v>13541.272161664445</v>
      </c>
      <c r="J473" s="310">
        <v>13689.174278174549</v>
      </c>
      <c r="K473" s="310">
        <v>14211.219141026948</v>
      </c>
      <c r="L473" s="310">
        <v>14755.826111078144</v>
      </c>
      <c r="M473" s="310">
        <v>15358.399642516559</v>
      </c>
      <c r="N473" s="311">
        <v>15953.777108638775</v>
      </c>
      <c r="O473" s="31">
        <v>16576.620240116434</v>
      </c>
      <c r="P473" s="31">
        <v>17228.802010577132</v>
      </c>
      <c r="Q473" s="31">
        <v>17946.262612584367</v>
      </c>
      <c r="R473" s="31">
        <v>18664.418792426444</v>
      </c>
      <c r="S473" s="31">
        <v>19418.558831431284</v>
      </c>
      <c r="T473" s="31">
        <v>20211.23326047778</v>
      </c>
      <c r="U473" s="31">
        <v>21079.114973758602</v>
      </c>
      <c r="V473" s="31">
        <v>21958.41303501559</v>
      </c>
      <c r="W473" s="31">
        <v>22221.701484263169</v>
      </c>
      <c r="X473" s="31">
        <v>5857.9486804218905</v>
      </c>
    </row>
    <row r="474" spans="1:24">
      <c r="A474" s="260" t="s">
        <v>32</v>
      </c>
      <c r="B474" s="305">
        <f>NPV(0.1,D474:Y474)</f>
        <v>130703.50306044111</v>
      </c>
      <c r="C474" s="305">
        <f>B474-B464</f>
        <v>2.0956558015313931E-2</v>
      </c>
      <c r="D474" s="312">
        <v>5361.1329661647269</v>
      </c>
      <c r="E474" s="313">
        <v>9524.859432951529</v>
      </c>
      <c r="F474" s="313">
        <v>9036.7931772815282</v>
      </c>
      <c r="G474" s="313">
        <v>20571.795770472512</v>
      </c>
      <c r="H474" s="313">
        <v>24169.186364202596</v>
      </c>
      <c r="I474" s="313">
        <v>20151.915336618702</v>
      </c>
      <c r="J474" s="313">
        <v>18449.091819161684</v>
      </c>
      <c r="K474" s="313">
        <v>18400.604555387861</v>
      </c>
      <c r="L474" s="313">
        <v>18313.500036614991</v>
      </c>
      <c r="M474" s="313">
        <v>18179.103379154549</v>
      </c>
      <c r="N474" s="314">
        <v>18101.499505825741</v>
      </c>
      <c r="O474" s="31">
        <v>17961.390251249595</v>
      </c>
      <c r="P474" s="31">
        <v>17775.690796136652</v>
      </c>
      <c r="Q474" s="31">
        <v>17535.245785776708</v>
      </c>
      <c r="R474" s="31">
        <v>17343.62555503055</v>
      </c>
      <c r="S474" s="31">
        <v>14365.081609186311</v>
      </c>
      <c r="T474" s="31">
        <v>11350.188246406922</v>
      </c>
      <c r="U474" s="31">
        <v>10959.179547614422</v>
      </c>
      <c r="V474" s="31">
        <v>10624.924948597931</v>
      </c>
      <c r="W474" s="31">
        <v>9961.082936961855</v>
      </c>
      <c r="X474" s="31">
        <v>10075.868742740269</v>
      </c>
    </row>
    <row r="476" spans="1:24">
      <c r="A476" s="29" t="s">
        <v>652</v>
      </c>
    </row>
    <row r="477" spans="1:24">
      <c r="A477" s="261">
        <v>36300</v>
      </c>
    </row>
    <row r="478" spans="1:24">
      <c r="A478" s="254" t="s">
        <v>379</v>
      </c>
      <c r="B478" s="255">
        <v>38648.997676113278</v>
      </c>
      <c r="C478" s="256"/>
      <c r="D478" s="256"/>
      <c r="E478" s="256"/>
      <c r="F478" s="256"/>
      <c r="G478" s="256"/>
      <c r="H478" s="256"/>
      <c r="I478" s="256"/>
      <c r="J478" s="256"/>
      <c r="K478" s="256"/>
      <c r="L478" s="256"/>
      <c r="M478" s="256"/>
      <c r="N478" s="256"/>
      <c r="O478" s="256"/>
      <c r="P478" s="256"/>
      <c r="Q478" s="256"/>
      <c r="R478" s="256"/>
      <c r="S478" s="256"/>
      <c r="T478" s="256"/>
      <c r="U478" s="256"/>
      <c r="V478" s="256"/>
    </row>
    <row r="479" spans="1:24">
      <c r="A479" s="257" t="s">
        <v>380</v>
      </c>
      <c r="B479" s="258">
        <v>74490.246439862851</v>
      </c>
      <c r="C479" s="256"/>
      <c r="D479" s="256"/>
      <c r="E479" s="256"/>
      <c r="F479" s="256"/>
      <c r="G479" s="256"/>
      <c r="H479" s="256"/>
      <c r="I479" s="256"/>
      <c r="J479" s="256"/>
      <c r="K479" s="256"/>
      <c r="L479" s="256"/>
      <c r="M479" s="256"/>
      <c r="N479" s="256"/>
      <c r="O479" s="256"/>
      <c r="P479" s="256"/>
      <c r="Q479" s="256"/>
      <c r="R479" s="256"/>
      <c r="S479" s="256"/>
      <c r="T479" s="256"/>
      <c r="U479" s="256"/>
      <c r="V479" s="256"/>
    </row>
    <row r="480" spans="1:24">
      <c r="A480" s="259" t="s">
        <v>383</v>
      </c>
      <c r="B480" s="304" t="s">
        <v>483</v>
      </c>
      <c r="C480" s="304" t="s">
        <v>484</v>
      </c>
      <c r="D480" s="306">
        <v>2000</v>
      </c>
      <c r="E480" s="307">
        <v>2001</v>
      </c>
      <c r="F480" s="307">
        <v>2002</v>
      </c>
      <c r="G480" s="307">
        <v>2003</v>
      </c>
      <c r="H480" s="307">
        <v>2004</v>
      </c>
      <c r="I480" s="307">
        <v>2005</v>
      </c>
      <c r="J480" s="307">
        <v>2006</v>
      </c>
      <c r="K480" s="307">
        <v>2007</v>
      </c>
      <c r="L480" s="307">
        <v>2008</v>
      </c>
      <c r="M480" s="307">
        <v>2009</v>
      </c>
      <c r="N480" s="308">
        <v>2010</v>
      </c>
      <c r="O480" s="256">
        <v>2011</v>
      </c>
      <c r="P480" s="256">
        <v>2012</v>
      </c>
      <c r="Q480" s="256">
        <v>2013</v>
      </c>
      <c r="R480" s="256">
        <v>2014</v>
      </c>
      <c r="S480" s="256">
        <v>2015</v>
      </c>
      <c r="T480" s="256">
        <v>2016</v>
      </c>
      <c r="U480" s="256">
        <v>2017</v>
      </c>
      <c r="V480" s="256">
        <v>2018</v>
      </c>
      <c r="W480" s="256">
        <v>2019</v>
      </c>
      <c r="X480" s="256">
        <v>2020</v>
      </c>
    </row>
    <row r="481" spans="1:24">
      <c r="A481" s="259" t="s">
        <v>381</v>
      </c>
      <c r="B481" s="305">
        <f>NPV(0.1,D481:Y481)</f>
        <v>548561.39098961139</v>
      </c>
      <c r="C481" s="305">
        <f>B481-B471</f>
        <v>0</v>
      </c>
      <c r="D481" s="309">
        <v>41364.1276</v>
      </c>
      <c r="E481" s="310">
        <v>53599.168868000001</v>
      </c>
      <c r="F481" s="310">
        <v>53676.461374039995</v>
      </c>
      <c r="G481" s="310">
        <v>61465.571098695575</v>
      </c>
      <c r="H481" s="310">
        <v>67464.240070386601</v>
      </c>
      <c r="I481" s="310">
        <v>68845.678958898192</v>
      </c>
      <c r="J481" s="310">
        <v>68789.168134888896</v>
      </c>
      <c r="K481" s="310">
        <v>69448.467532559807</v>
      </c>
      <c r="L481" s="310">
        <v>70104.689292177572</v>
      </c>
      <c r="M481" s="310">
        <v>70757.055386001099</v>
      </c>
      <c r="N481" s="311">
        <v>71404.74387449905</v>
      </c>
      <c r="O481" s="31">
        <v>72046.886971867512</v>
      </c>
      <c r="P481" s="31">
        <v>72682.569034999018</v>
      </c>
      <c r="Q481" s="31">
        <v>73310.824473051747</v>
      </c>
      <c r="R481" s="31">
        <v>73930.63557466412</v>
      </c>
      <c r="S481" s="31">
        <v>74540.930249755504</v>
      </c>
      <c r="T481" s="31">
        <v>75140.579682743162</v>
      </c>
      <c r="U481" s="31">
        <v>75728.395893893321</v>
      </c>
      <c r="V481" s="31">
        <v>76303.129205405989</v>
      </c>
      <c r="W481" s="31">
        <v>75777.196449457682</v>
      </c>
      <c r="X481" s="31">
        <v>32570.808451795041</v>
      </c>
    </row>
    <row r="482" spans="1:24">
      <c r="A482" s="260" t="s">
        <v>382</v>
      </c>
      <c r="B482" s="305">
        <f>NPV(0.1,D482:Y482)</f>
        <v>243114.44212645985</v>
      </c>
      <c r="C482" s="305">
        <f>B482-B472</f>
        <v>-178.96498406855972</v>
      </c>
      <c r="D482" s="309">
        <v>25832.567148521455</v>
      </c>
      <c r="E482" s="310">
        <v>27375.700663686941</v>
      </c>
      <c r="F482" s="310">
        <v>27526.315595609994</v>
      </c>
      <c r="G482" s="310">
        <v>27859.306276472427</v>
      </c>
      <c r="H482" s="310">
        <v>27984.684482889854</v>
      </c>
      <c r="I482" s="310">
        <v>28111.14711058273</v>
      </c>
      <c r="J482" s="310">
        <v>28298.594439212837</v>
      </c>
      <c r="K482" s="310">
        <v>28491.665187701845</v>
      </c>
      <c r="L482" s="310">
        <v>28690.528058645523</v>
      </c>
      <c r="M482" s="310">
        <v>28839.831745711257</v>
      </c>
      <c r="N482" s="311">
        <v>29050.805365495409</v>
      </c>
      <c r="O482" s="31">
        <v>29268.108193873082</v>
      </c>
      <c r="P482" s="31">
        <v>29491.930107102085</v>
      </c>
      <c r="Q482" s="31">
        <v>29666.941607721707</v>
      </c>
      <c r="R482" s="31">
        <v>29904.394275466359</v>
      </c>
      <c r="S482" s="31">
        <v>30148.970523243348</v>
      </c>
      <c r="T482" s="31">
        <v>30400.884058453648</v>
      </c>
      <c r="U482" s="31">
        <v>30604.829929714004</v>
      </c>
      <c r="V482" s="31">
        <v>30872.084999218609</v>
      </c>
      <c r="W482" s="31">
        <v>31147.357720808355</v>
      </c>
      <c r="X482" s="31">
        <v>16077.192096035629</v>
      </c>
    </row>
    <row r="483" spans="1:24">
      <c r="A483" s="260" t="s">
        <v>35</v>
      </c>
      <c r="B483" s="305">
        <f>NPV(0.1,D483:Y483)</f>
        <v>99692.590092695624</v>
      </c>
      <c r="C483" s="305">
        <f>B483-B473</f>
        <v>-677.86972495258669</v>
      </c>
      <c r="D483" s="309">
        <v>-1645.4043471216228</v>
      </c>
      <c r="E483" s="310">
        <v>3349.9727482674207</v>
      </c>
      <c r="F483" s="310">
        <v>3605.3784876835439</v>
      </c>
      <c r="G483" s="310">
        <v>8584.5572693836621</v>
      </c>
      <c r="H483" s="310">
        <v>12721.082064849086</v>
      </c>
      <c r="I483" s="310">
        <v>13935.81071956716</v>
      </c>
      <c r="J483" s="310">
        <v>14205.72192336765</v>
      </c>
      <c r="K483" s="310">
        <v>14885.330792457435</v>
      </c>
      <c r="L483" s="310">
        <v>15559.52137653245</v>
      </c>
      <c r="M483" s="310">
        <v>16510.132735688472</v>
      </c>
      <c r="N483" s="311">
        <v>17593.232237432469</v>
      </c>
      <c r="O483" s="31">
        <v>18047.823401344955</v>
      </c>
      <c r="P483" s="31">
        <v>18543.252453424437</v>
      </c>
      <c r="Q483" s="31">
        <v>19063.961687041399</v>
      </c>
      <c r="R483" s="31">
        <v>19541.36897790643</v>
      </c>
      <c r="S483" s="31">
        <v>20008.611360928215</v>
      </c>
      <c r="T483" s="31">
        <v>20464.868726910103</v>
      </c>
      <c r="U483" s="31">
        <v>21187.03497129949</v>
      </c>
      <c r="V483" s="31">
        <v>21960.069599933016</v>
      </c>
      <c r="W483" s="31">
        <v>22202.142027017846</v>
      </c>
      <c r="X483" s="31">
        <v>5869.9581005509499</v>
      </c>
    </row>
    <row r="484" spans="1:24">
      <c r="A484" s="260" t="s">
        <v>32</v>
      </c>
      <c r="B484" s="305">
        <f>NPV(0.1,D484:Y484)</f>
        <v>105472.85681950129</v>
      </c>
      <c r="C484" s="305">
        <f>B484-B474</f>
        <v>-25230.646240939823</v>
      </c>
      <c r="D484" s="312">
        <v>-5859.6301428779734</v>
      </c>
      <c r="E484" s="313">
        <v>5926.2010985857523</v>
      </c>
      <c r="F484" s="313">
        <v>3166.3189506603776</v>
      </c>
      <c r="G484" s="313">
        <v>8698.6470575009444</v>
      </c>
      <c r="H484" s="313">
        <v>20971.773382340456</v>
      </c>
      <c r="I484" s="313">
        <v>21019.429825696501</v>
      </c>
      <c r="J484" s="313">
        <v>15475.41948559322</v>
      </c>
      <c r="K484" s="313">
        <v>16164.20368942861</v>
      </c>
      <c r="L484" s="313">
        <v>11388.21893875802</v>
      </c>
      <c r="M484" s="313">
        <v>8583.8405626533895</v>
      </c>
      <c r="N484" s="314">
        <v>23315.789799658032</v>
      </c>
      <c r="O484" s="31">
        <v>22791.416298316126</v>
      </c>
      <c r="P484" s="31">
        <v>23277.670015649997</v>
      </c>
      <c r="Q484" s="31">
        <v>23752.029514006314</v>
      </c>
      <c r="R484" s="31">
        <v>24275.786540131994</v>
      </c>
      <c r="S484" s="31">
        <v>22036.305173200199</v>
      </c>
      <c r="T484" s="31">
        <v>14845.13878922848</v>
      </c>
      <c r="U484" s="31">
        <v>13535.499963611619</v>
      </c>
      <c r="V484" s="31">
        <v>11399.6396622514</v>
      </c>
      <c r="W484" s="31">
        <v>9665.4320893362274</v>
      </c>
      <c r="X484" s="31">
        <v>10087.878162869332</v>
      </c>
    </row>
    <row r="486" spans="1:24">
      <c r="A486" s="29" t="s">
        <v>651</v>
      </c>
    </row>
    <row r="487" spans="1:24">
      <c r="A487" s="261">
        <v>36300</v>
      </c>
    </row>
    <row r="488" spans="1:24">
      <c r="A488" s="254" t="s">
        <v>379</v>
      </c>
      <c r="B488" s="255">
        <v>38648.997676113278</v>
      </c>
      <c r="C488" s="256"/>
      <c r="D488" s="256"/>
      <c r="E488" s="256"/>
      <c r="F488" s="256"/>
      <c r="G488" s="256"/>
      <c r="H488" s="256"/>
      <c r="I488" s="256"/>
      <c r="J488" s="256"/>
      <c r="K488" s="256"/>
      <c r="L488" s="256"/>
      <c r="M488" s="256"/>
      <c r="N488" s="256"/>
      <c r="O488" s="256"/>
      <c r="P488" s="256"/>
      <c r="Q488" s="256"/>
      <c r="R488" s="256"/>
      <c r="S488" s="256"/>
      <c r="T488" s="256"/>
      <c r="U488" s="256"/>
      <c r="V488" s="256"/>
    </row>
    <row r="489" spans="1:24">
      <c r="A489" s="257" t="s">
        <v>380</v>
      </c>
      <c r="B489" s="258">
        <v>74490.246439862851</v>
      </c>
      <c r="C489" s="256"/>
      <c r="D489" s="256"/>
      <c r="E489" s="256"/>
      <c r="F489" s="256"/>
      <c r="G489" s="256"/>
      <c r="H489" s="256"/>
      <c r="I489" s="256"/>
      <c r="J489" s="256"/>
      <c r="K489" s="256"/>
      <c r="L489" s="256"/>
      <c r="M489" s="256"/>
      <c r="N489" s="256"/>
      <c r="O489" s="256"/>
      <c r="P489" s="256"/>
      <c r="Q489" s="256"/>
      <c r="R489" s="256"/>
      <c r="S489" s="256"/>
      <c r="T489" s="256"/>
      <c r="U489" s="256"/>
      <c r="V489" s="256"/>
    </row>
    <row r="490" spans="1:24">
      <c r="A490" s="259" t="s">
        <v>383</v>
      </c>
      <c r="B490" s="304" t="s">
        <v>483</v>
      </c>
      <c r="C490" s="304" t="s">
        <v>484</v>
      </c>
      <c r="D490" s="306">
        <v>2000</v>
      </c>
      <c r="E490" s="307">
        <v>2001</v>
      </c>
      <c r="F490" s="307">
        <v>2002</v>
      </c>
      <c r="G490" s="307">
        <v>2003</v>
      </c>
      <c r="H490" s="307">
        <v>2004</v>
      </c>
      <c r="I490" s="307">
        <v>2005</v>
      </c>
      <c r="J490" s="307">
        <v>2006</v>
      </c>
      <c r="K490" s="307">
        <v>2007</v>
      </c>
      <c r="L490" s="307">
        <v>2008</v>
      </c>
      <c r="M490" s="307">
        <v>2009</v>
      </c>
      <c r="N490" s="308">
        <v>2010</v>
      </c>
      <c r="O490" s="256">
        <v>2011</v>
      </c>
      <c r="P490" s="256">
        <v>2012</v>
      </c>
      <c r="Q490" s="256">
        <v>2013</v>
      </c>
      <c r="R490" s="256">
        <v>2014</v>
      </c>
      <c r="S490" s="256">
        <v>2015</v>
      </c>
      <c r="T490" s="256">
        <v>2016</v>
      </c>
      <c r="U490" s="256">
        <v>2017</v>
      </c>
      <c r="V490" s="256">
        <v>2018</v>
      </c>
      <c r="W490" s="256">
        <v>2019</v>
      </c>
      <c r="X490" s="256">
        <v>2020</v>
      </c>
    </row>
    <row r="491" spans="1:24">
      <c r="A491" s="259" t="s">
        <v>381</v>
      </c>
      <c r="B491" s="305">
        <f>NPV(0.1,D491:Y491)</f>
        <v>548561.39098961139</v>
      </c>
      <c r="C491" s="305">
        <f>B491-B481</f>
        <v>0</v>
      </c>
      <c r="D491" s="309">
        <v>41364.1276</v>
      </c>
      <c r="E491" s="310">
        <v>53599.168868000001</v>
      </c>
      <c r="F491" s="310">
        <v>53676.461374039995</v>
      </c>
      <c r="G491" s="310">
        <v>61465.571098695575</v>
      </c>
      <c r="H491" s="310">
        <v>67464.240070386601</v>
      </c>
      <c r="I491" s="310">
        <v>68845.678958898192</v>
      </c>
      <c r="J491" s="310">
        <v>68789.168134888896</v>
      </c>
      <c r="K491" s="310">
        <v>69448.467532559807</v>
      </c>
      <c r="L491" s="310">
        <v>70104.689292177572</v>
      </c>
      <c r="M491" s="310">
        <v>70757.055386001099</v>
      </c>
      <c r="N491" s="311">
        <v>71404.74387449905</v>
      </c>
      <c r="O491" s="31">
        <v>72046.886971867512</v>
      </c>
      <c r="P491" s="31">
        <v>72682.569034999018</v>
      </c>
      <c r="Q491" s="31">
        <v>73310.824473051747</v>
      </c>
      <c r="R491" s="31">
        <v>73930.63557466412</v>
      </c>
      <c r="S491" s="31">
        <v>74540.930249755504</v>
      </c>
      <c r="T491" s="31">
        <v>75140.579682743162</v>
      </c>
      <c r="U491" s="31">
        <v>75728.395893893321</v>
      </c>
      <c r="V491" s="31">
        <v>76303.129205405989</v>
      </c>
      <c r="W491" s="31">
        <v>75777.196449457682</v>
      </c>
      <c r="X491" s="31">
        <v>32570.808451795041</v>
      </c>
    </row>
    <row r="492" spans="1:24">
      <c r="A492" s="260" t="s">
        <v>382</v>
      </c>
      <c r="B492" s="305">
        <f>NPV(0.1,D492:Y492)</f>
        <v>242672.72245429381</v>
      </c>
      <c r="C492" s="305">
        <f>B492-B482</f>
        <v>-441.71967216604389</v>
      </c>
      <c r="D492" s="309">
        <v>25832.567148521455</v>
      </c>
      <c r="E492" s="310">
        <v>27375.700663686941</v>
      </c>
      <c r="F492" s="310">
        <v>27526.315595609994</v>
      </c>
      <c r="G492" s="310">
        <v>27822.66252349073</v>
      </c>
      <c r="H492" s="310">
        <v>27919.982084767886</v>
      </c>
      <c r="I492" s="310">
        <v>28044.503640517105</v>
      </c>
      <c r="J492" s="310">
        <v>28229.951665045242</v>
      </c>
      <c r="K492" s="310">
        <v>28420.963130309221</v>
      </c>
      <c r="L492" s="310">
        <v>28617.704939531122</v>
      </c>
      <c r="M492" s="310">
        <v>28764.823933023428</v>
      </c>
      <c r="N492" s="311">
        <v>28973.547318426939</v>
      </c>
      <c r="O492" s="31">
        <v>29188.532405392561</v>
      </c>
      <c r="P492" s="31">
        <v>29409.96704496715</v>
      </c>
      <c r="Q492" s="31">
        <v>29582.519653722724</v>
      </c>
      <c r="R492" s="31">
        <v>29817.439662847402</v>
      </c>
      <c r="S492" s="31">
        <v>30059.407272245826</v>
      </c>
      <c r="T492" s="31">
        <v>30308.6339099262</v>
      </c>
      <c r="U492" s="31">
        <v>30509.812276730732</v>
      </c>
      <c r="V492" s="31">
        <v>30774.21681664584</v>
      </c>
      <c r="W492" s="31">
        <v>31046.553492758401</v>
      </c>
      <c r="X492" s="31">
        <v>16033.930281497524</v>
      </c>
    </row>
    <row r="493" spans="1:24">
      <c r="A493" s="260" t="s">
        <v>35</v>
      </c>
      <c r="B493" s="305">
        <f>NPV(0.1,D493:Y493)</f>
        <v>99692.590092695624</v>
      </c>
      <c r="C493" s="305">
        <f>B493-B483</f>
        <v>0</v>
      </c>
      <c r="D493" s="309">
        <v>-1645.4043471216228</v>
      </c>
      <c r="E493" s="310">
        <v>3349.9727482674207</v>
      </c>
      <c r="F493" s="310">
        <v>3605.3784876835439</v>
      </c>
      <c r="G493" s="310">
        <v>8584.5572693836621</v>
      </c>
      <c r="H493" s="310">
        <v>12721.082064849086</v>
      </c>
      <c r="I493" s="310">
        <v>13935.81071956716</v>
      </c>
      <c r="J493" s="310">
        <v>14205.72192336765</v>
      </c>
      <c r="K493" s="310">
        <v>14885.330792457435</v>
      </c>
      <c r="L493" s="310">
        <v>15559.52137653245</v>
      </c>
      <c r="M493" s="310">
        <v>16510.132735688472</v>
      </c>
      <c r="N493" s="311">
        <v>17593.232237432469</v>
      </c>
      <c r="O493" s="31">
        <v>18047.823401344955</v>
      </c>
      <c r="P493" s="31">
        <v>18543.252453424437</v>
      </c>
      <c r="Q493" s="31">
        <v>19063.961687041399</v>
      </c>
      <c r="R493" s="31">
        <v>19541.36897790643</v>
      </c>
      <c r="S493" s="31">
        <v>20008.611360928215</v>
      </c>
      <c r="T493" s="31">
        <v>20464.868726910103</v>
      </c>
      <c r="U493" s="31">
        <v>21187.03497129949</v>
      </c>
      <c r="V493" s="31">
        <v>21960.069599933016</v>
      </c>
      <c r="W493" s="31">
        <v>22202.142027017846</v>
      </c>
      <c r="X493" s="31">
        <v>5869.9581005509499</v>
      </c>
    </row>
    <row r="494" spans="1:24">
      <c r="A494" s="260" t="s">
        <v>32</v>
      </c>
      <c r="B494" s="305">
        <f>NPV(0.1,D494:Y494)</f>
        <v>105472.85681950129</v>
      </c>
      <c r="C494" s="305">
        <f>B494-B484</f>
        <v>0</v>
      </c>
      <c r="D494" s="312">
        <v>-5859.6301428779734</v>
      </c>
      <c r="E494" s="313">
        <v>5926.2010985857523</v>
      </c>
      <c r="F494" s="313">
        <v>3166.3189506603776</v>
      </c>
      <c r="G494" s="313">
        <v>8698.6470575009444</v>
      </c>
      <c r="H494" s="313">
        <v>20971.773382340456</v>
      </c>
      <c r="I494" s="313">
        <v>21019.429825696501</v>
      </c>
      <c r="J494" s="313">
        <v>15475.41948559322</v>
      </c>
      <c r="K494" s="313">
        <v>16164.20368942861</v>
      </c>
      <c r="L494" s="313">
        <v>11388.21893875802</v>
      </c>
      <c r="M494" s="313">
        <v>8583.8405626533895</v>
      </c>
      <c r="N494" s="314">
        <v>23315.789799658032</v>
      </c>
      <c r="O494" s="31">
        <v>22791.416298316126</v>
      </c>
      <c r="P494" s="31">
        <v>23277.670015649997</v>
      </c>
      <c r="Q494" s="31">
        <v>23752.029514006314</v>
      </c>
      <c r="R494" s="31">
        <v>24275.786540131994</v>
      </c>
      <c r="S494" s="31">
        <v>22036.305173200199</v>
      </c>
      <c r="T494" s="31">
        <v>14845.13878922848</v>
      </c>
      <c r="U494" s="31">
        <v>13535.499963611619</v>
      </c>
      <c r="V494" s="31">
        <v>11399.6396622514</v>
      </c>
      <c r="W494" s="31">
        <v>9665.4320893362274</v>
      </c>
      <c r="X494" s="31">
        <v>10087.878162869332</v>
      </c>
    </row>
    <row r="496" spans="1:24">
      <c r="A496" s="29" t="s">
        <v>651</v>
      </c>
    </row>
    <row r="497" spans="1:24">
      <c r="A497" s="261">
        <v>36300</v>
      </c>
    </row>
    <row r="498" spans="1:24">
      <c r="A498" s="254" t="s">
        <v>379</v>
      </c>
      <c r="B498" s="255">
        <v>38940.849497930823</v>
      </c>
      <c r="C498" s="256"/>
      <c r="D498" s="256"/>
      <c r="E498" s="256"/>
      <c r="F498" s="256"/>
      <c r="G498" s="256"/>
      <c r="H498" s="256"/>
      <c r="I498" s="256"/>
      <c r="J498" s="256"/>
      <c r="K498" s="256"/>
      <c r="L498" s="256"/>
      <c r="M498" s="256"/>
      <c r="N498" s="256"/>
      <c r="O498" s="256"/>
      <c r="P498" s="256"/>
      <c r="Q498" s="256"/>
      <c r="R498" s="256"/>
      <c r="S498" s="256"/>
      <c r="T498" s="256"/>
      <c r="U498" s="256"/>
      <c r="V498" s="256"/>
    </row>
    <row r="499" spans="1:24">
      <c r="A499" s="257" t="s">
        <v>380</v>
      </c>
      <c r="B499" s="258">
        <v>74942.481089816923</v>
      </c>
      <c r="C499" s="256"/>
      <c r="D499" s="256"/>
      <c r="E499" s="256"/>
      <c r="F499" s="256"/>
      <c r="G499" s="256"/>
      <c r="H499" s="256"/>
      <c r="I499" s="256"/>
      <c r="J499" s="256"/>
      <c r="K499" s="256"/>
      <c r="L499" s="256"/>
      <c r="M499" s="256"/>
      <c r="N499" s="256"/>
      <c r="O499" s="256"/>
      <c r="P499" s="256"/>
      <c r="Q499" s="256"/>
      <c r="R499" s="256"/>
      <c r="S499" s="256"/>
      <c r="T499" s="256"/>
      <c r="U499" s="256"/>
      <c r="V499" s="256"/>
    </row>
    <row r="500" spans="1:24">
      <c r="A500" s="259" t="s">
        <v>383</v>
      </c>
      <c r="B500" s="304" t="s">
        <v>483</v>
      </c>
      <c r="C500" s="304" t="s">
        <v>484</v>
      </c>
      <c r="D500" s="306">
        <v>2000</v>
      </c>
      <c r="E500" s="307">
        <v>2001</v>
      </c>
      <c r="F500" s="307">
        <v>2002</v>
      </c>
      <c r="G500" s="307">
        <v>2003</v>
      </c>
      <c r="H500" s="307">
        <v>2004</v>
      </c>
      <c r="I500" s="307">
        <v>2005</v>
      </c>
      <c r="J500" s="307">
        <v>2006</v>
      </c>
      <c r="K500" s="307">
        <v>2007</v>
      </c>
      <c r="L500" s="307">
        <v>2008</v>
      </c>
      <c r="M500" s="307">
        <v>2009</v>
      </c>
      <c r="N500" s="308">
        <v>2010</v>
      </c>
      <c r="O500" s="256">
        <v>2011</v>
      </c>
      <c r="P500" s="256">
        <v>2012</v>
      </c>
      <c r="Q500" s="256">
        <v>2013</v>
      </c>
      <c r="R500" s="256">
        <v>2014</v>
      </c>
      <c r="S500" s="256">
        <v>2015</v>
      </c>
      <c r="T500" s="256">
        <v>2016</v>
      </c>
      <c r="U500" s="256">
        <v>2017</v>
      </c>
      <c r="V500" s="256">
        <v>2018</v>
      </c>
      <c r="W500" s="256">
        <v>2019</v>
      </c>
      <c r="X500" s="256">
        <v>2020</v>
      </c>
    </row>
    <row r="501" spans="1:24">
      <c r="A501" s="259" t="s">
        <v>381</v>
      </c>
      <c r="B501" s="305">
        <f>NPV(0.1,D501:Y501)</f>
        <v>548561.39098961139</v>
      </c>
      <c r="C501" s="305">
        <f>B501-B491</f>
        <v>0</v>
      </c>
      <c r="D501" s="309">
        <v>41364.1276</v>
      </c>
      <c r="E501" s="310">
        <v>53599.168868000001</v>
      </c>
      <c r="F501" s="310">
        <v>53676.461374039995</v>
      </c>
      <c r="G501" s="310">
        <v>61465.571098695575</v>
      </c>
      <c r="H501" s="310">
        <v>67464.240070386601</v>
      </c>
      <c r="I501" s="310">
        <v>68845.678958898192</v>
      </c>
      <c r="J501" s="310">
        <v>68789.168134888896</v>
      </c>
      <c r="K501" s="310">
        <v>69448.467532559807</v>
      </c>
      <c r="L501" s="310">
        <v>70104.689292177572</v>
      </c>
      <c r="M501" s="310">
        <v>70757.055386001099</v>
      </c>
      <c r="N501" s="311">
        <v>71404.74387449905</v>
      </c>
      <c r="O501" s="31">
        <v>72046.886971867512</v>
      </c>
      <c r="P501" s="31">
        <v>72682.569034999018</v>
      </c>
      <c r="Q501" s="31">
        <v>73310.824473051747</v>
      </c>
      <c r="R501" s="31">
        <v>73930.63557466412</v>
      </c>
      <c r="S501" s="31">
        <v>74540.930249755504</v>
      </c>
      <c r="T501" s="31">
        <v>75140.579682743162</v>
      </c>
      <c r="U501" s="31">
        <v>75728.395893893321</v>
      </c>
      <c r="V501" s="31">
        <v>76303.129205405989</v>
      </c>
      <c r="W501" s="31">
        <v>75777.196449457682</v>
      </c>
      <c r="X501" s="31">
        <v>32570.808451795041</v>
      </c>
    </row>
    <row r="502" spans="1:24">
      <c r="A502" s="260" t="s">
        <v>382</v>
      </c>
      <c r="B502" s="305">
        <f>NPV(0.1,D502:Y502)</f>
        <v>242672.13124438858</v>
      </c>
      <c r="C502" s="305">
        <f>B502-B492</f>
        <v>-0.5912099052220583</v>
      </c>
      <c r="D502" s="309">
        <v>25832.469731021454</v>
      </c>
      <c r="E502" s="310">
        <v>27375.635718686939</v>
      </c>
      <c r="F502" s="310">
        <v>27526.250650609993</v>
      </c>
      <c r="G502" s="310">
        <v>27822.597578490728</v>
      </c>
      <c r="H502" s="310">
        <v>27919.917139767884</v>
      </c>
      <c r="I502" s="310">
        <v>28044.438695517103</v>
      </c>
      <c r="J502" s="310">
        <v>28229.886720045241</v>
      </c>
      <c r="K502" s="310">
        <v>28420.898185309219</v>
      </c>
      <c r="L502" s="310">
        <v>28617.63999453112</v>
      </c>
      <c r="M502" s="310">
        <v>28764.758988023426</v>
      </c>
      <c r="N502" s="311">
        <v>28973.482373426938</v>
      </c>
      <c r="O502" s="31">
        <v>29188.46746039256</v>
      </c>
      <c r="P502" s="31">
        <v>29409.902099967148</v>
      </c>
      <c r="Q502" s="31">
        <v>29582.454708722722</v>
      </c>
      <c r="R502" s="31">
        <v>29817.3747178474</v>
      </c>
      <c r="S502" s="31">
        <v>30059.342327245824</v>
      </c>
      <c r="T502" s="31">
        <v>30308.568964926199</v>
      </c>
      <c r="U502" s="31">
        <v>30509.74733173073</v>
      </c>
      <c r="V502" s="31">
        <v>30774.151871645838</v>
      </c>
      <c r="W502" s="31">
        <v>31046.488547758399</v>
      </c>
      <c r="X502" s="31">
        <v>16033.865336497523</v>
      </c>
    </row>
    <row r="503" spans="1:24">
      <c r="A503" s="260" t="s">
        <v>35</v>
      </c>
      <c r="B503" s="305">
        <f>NPV(0.1,D503:Y503)</f>
        <v>99972.506518474518</v>
      </c>
      <c r="C503" s="305">
        <f>B503-B493</f>
        <v>279.91642577889434</v>
      </c>
      <c r="D503" s="309">
        <v>-1644.6591303652201</v>
      </c>
      <c r="E503" s="310">
        <v>3351.1879193306081</v>
      </c>
      <c r="F503" s="310">
        <v>3606.5936587467327</v>
      </c>
      <c r="G503" s="310">
        <v>8608.1570693768736</v>
      </c>
      <c r="H503" s="310">
        <v>12761.822094994433</v>
      </c>
      <c r="I503" s="310">
        <v>13977.736495484975</v>
      </c>
      <c r="J503" s="310">
        <v>14248.869017431105</v>
      </c>
      <c r="K503" s="310">
        <v>14929.735844210894</v>
      </c>
      <c r="L503" s="310">
        <v>15605.222124706617</v>
      </c>
      <c r="M503" s="310">
        <v>16557.168051175966</v>
      </c>
      <c r="N503" s="311">
        <v>17641.642157252703</v>
      </c>
      <c r="O503" s="31">
        <v>18097.649163627888</v>
      </c>
      <c r="P503" s="31">
        <v>18594.536533443967</v>
      </c>
      <c r="Q503" s="31">
        <v>19116.747834329617</v>
      </c>
      <c r="R503" s="31">
        <v>19595.702254481399</v>
      </c>
      <c r="S503" s="31">
        <v>20064.53818066854</v>
      </c>
      <c r="T503" s="31">
        <v>20522.436896110743</v>
      </c>
      <c r="U503" s="31">
        <v>21246.293730444253</v>
      </c>
      <c r="V503" s="31">
        <v>22021.069666720228</v>
      </c>
      <c r="W503" s="31">
        <v>22264.935640676777</v>
      </c>
      <c r="X503" s="31">
        <v>5897.6006865614754</v>
      </c>
    </row>
    <row r="504" spans="1:24">
      <c r="A504" s="260" t="s">
        <v>32</v>
      </c>
      <c r="B504" s="305">
        <f>NPV(0.1,D504:Y504)</f>
        <v>105734.79770849225</v>
      </c>
      <c r="C504" s="305">
        <f>B504-B494</f>
        <v>261.94088899095368</v>
      </c>
      <c r="D504" s="312">
        <v>-5859.5315076592233</v>
      </c>
      <c r="E504" s="313">
        <v>5926.2668553982548</v>
      </c>
      <c r="F504" s="313">
        <v>3166.3847074728801</v>
      </c>
      <c r="G504" s="313">
        <v>8735.8146142074038</v>
      </c>
      <c r="H504" s="313">
        <v>21037.350317251447</v>
      </c>
      <c r="I504" s="313">
        <v>21008.021175950904</v>
      </c>
      <c r="J504" s="313">
        <v>15515.871139395324</v>
      </c>
      <c r="K504" s="313">
        <v>16205.910724747402</v>
      </c>
      <c r="L504" s="313">
        <v>11431.224246670834</v>
      </c>
      <c r="M504" s="313">
        <v>8628.1778617062173</v>
      </c>
      <c r="N504" s="314">
        <v>23361.504279216919</v>
      </c>
      <c r="O504" s="31">
        <v>22838.544044164395</v>
      </c>
      <c r="P504" s="31">
        <v>23326.258655408179</v>
      </c>
      <c r="Q504" s="31">
        <v>23802.117644859864</v>
      </c>
      <c r="R504" s="31">
        <v>24327.424376445619</v>
      </c>
      <c r="S504" s="31">
        <v>22090.29652380709</v>
      </c>
      <c r="T504" s="31">
        <v>14901.531460423623</v>
      </c>
      <c r="U504" s="31">
        <v>13593.583224750892</v>
      </c>
      <c r="V504" s="31">
        <v>11459.464231033111</v>
      </c>
      <c r="W504" s="31">
        <v>9727.0502049896568</v>
      </c>
      <c r="X504" s="31">
        <v>10114.345250874356</v>
      </c>
    </row>
    <row r="506" spans="1:24">
      <c r="A506" s="29" t="s">
        <v>653</v>
      </c>
    </row>
    <row r="507" spans="1:24">
      <c r="A507" s="261">
        <v>36313</v>
      </c>
    </row>
    <row r="508" spans="1:24">
      <c r="A508" s="254" t="s">
        <v>379</v>
      </c>
      <c r="B508" s="255">
        <v>38757.176280689368</v>
      </c>
      <c r="C508" s="256"/>
      <c r="D508" s="256"/>
      <c r="E508" s="256"/>
      <c r="F508" s="256"/>
      <c r="G508" s="256"/>
      <c r="H508" s="256"/>
      <c r="I508" s="256"/>
      <c r="J508" s="256"/>
      <c r="K508" s="256"/>
      <c r="L508" s="256"/>
      <c r="M508" s="256"/>
      <c r="N508" s="256"/>
      <c r="O508" s="256"/>
      <c r="P508" s="256"/>
      <c r="Q508" s="256"/>
      <c r="R508" s="256"/>
      <c r="S508" s="256"/>
      <c r="T508" s="256"/>
      <c r="U508" s="256"/>
      <c r="V508" s="256"/>
    </row>
    <row r="509" spans="1:24">
      <c r="A509" s="257" t="s">
        <v>380</v>
      </c>
      <c r="B509" s="258">
        <v>74723.253931792831</v>
      </c>
      <c r="C509" s="256"/>
      <c r="D509" s="256"/>
      <c r="E509" s="256"/>
      <c r="F509" s="256"/>
      <c r="G509" s="256"/>
      <c r="H509" s="256"/>
      <c r="I509" s="256"/>
      <c r="J509" s="256"/>
      <c r="K509" s="256"/>
      <c r="L509" s="256"/>
      <c r="M509" s="256"/>
      <c r="N509" s="256"/>
      <c r="O509" s="256"/>
      <c r="P509" s="256"/>
      <c r="Q509" s="256"/>
      <c r="R509" s="256"/>
      <c r="S509" s="256"/>
      <c r="T509" s="256"/>
      <c r="U509" s="256"/>
      <c r="V509" s="256"/>
    </row>
    <row r="510" spans="1:24">
      <c r="A510" s="259" t="s">
        <v>383</v>
      </c>
      <c r="B510" s="304" t="s">
        <v>483</v>
      </c>
      <c r="C510" s="304" t="s">
        <v>484</v>
      </c>
      <c r="D510" s="306">
        <v>2000</v>
      </c>
      <c r="E510" s="307">
        <v>2001</v>
      </c>
      <c r="F510" s="307">
        <v>2002</v>
      </c>
      <c r="G510" s="307">
        <v>2003</v>
      </c>
      <c r="H510" s="307">
        <v>2004</v>
      </c>
      <c r="I510" s="307">
        <v>2005</v>
      </c>
      <c r="J510" s="307">
        <v>2006</v>
      </c>
      <c r="K510" s="307">
        <v>2007</v>
      </c>
      <c r="L510" s="307">
        <v>2008</v>
      </c>
      <c r="M510" s="307">
        <v>2009</v>
      </c>
      <c r="N510" s="308">
        <v>2010</v>
      </c>
      <c r="O510" s="256">
        <v>2011</v>
      </c>
      <c r="P510" s="256">
        <v>2012</v>
      </c>
      <c r="Q510" s="256">
        <v>2013</v>
      </c>
      <c r="R510" s="256">
        <v>2014</v>
      </c>
      <c r="S510" s="256">
        <v>2015</v>
      </c>
      <c r="T510" s="256">
        <v>2016</v>
      </c>
      <c r="U510" s="256">
        <v>2017</v>
      </c>
      <c r="V510" s="256">
        <v>2018</v>
      </c>
      <c r="W510" s="256">
        <v>2019</v>
      </c>
      <c r="X510" s="256">
        <v>2020</v>
      </c>
    </row>
    <row r="511" spans="1:24">
      <c r="A511" s="259" t="s">
        <v>381</v>
      </c>
      <c r="B511" s="305">
        <f>NPV(0.1,D511:Y511)</f>
        <v>548561.39098961139</v>
      </c>
      <c r="C511" s="305">
        <f>B511-B501</f>
        <v>0</v>
      </c>
      <c r="D511" s="309">
        <v>41364.1276</v>
      </c>
      <c r="E511" s="310">
        <v>53599.168868000001</v>
      </c>
      <c r="F511" s="310">
        <v>53676.461374039995</v>
      </c>
      <c r="G511" s="310">
        <v>61465.571098695575</v>
      </c>
      <c r="H511" s="310">
        <v>67464.240070386601</v>
      </c>
      <c r="I511" s="310">
        <v>68845.678958898192</v>
      </c>
      <c r="J511" s="310">
        <v>68789.168134888896</v>
      </c>
      <c r="K511" s="310">
        <v>69448.467532559807</v>
      </c>
      <c r="L511" s="310">
        <v>70104.689292177572</v>
      </c>
      <c r="M511" s="310">
        <v>70757.055386001099</v>
      </c>
      <c r="N511" s="311">
        <v>71404.74387449905</v>
      </c>
      <c r="O511" s="31">
        <v>72046.886971867512</v>
      </c>
      <c r="P511" s="31">
        <v>72682.569034999018</v>
      </c>
      <c r="Q511" s="31">
        <v>73310.824473051747</v>
      </c>
      <c r="R511" s="31">
        <v>73930.63557466412</v>
      </c>
      <c r="S511" s="31">
        <v>74540.930249755504</v>
      </c>
      <c r="T511" s="31">
        <v>75140.579682743162</v>
      </c>
      <c r="U511" s="31">
        <v>75728.395893893321</v>
      </c>
      <c r="V511" s="31">
        <v>76303.129205405989</v>
      </c>
      <c r="W511" s="31">
        <v>75777.196449457682</v>
      </c>
      <c r="X511" s="31">
        <v>32570.808451795041</v>
      </c>
    </row>
    <row r="512" spans="1:24">
      <c r="A512" s="260" t="s">
        <v>382</v>
      </c>
      <c r="B512" s="305">
        <f>NPV(0.1,D512:Y512)</f>
        <v>242674.11010664442</v>
      </c>
      <c r="C512" s="305">
        <f>B512-B502</f>
        <v>1.9788622558407951</v>
      </c>
      <c r="D512" s="309">
        <v>25832.795801021453</v>
      </c>
      <c r="E512" s="310">
        <v>27375.853098686941</v>
      </c>
      <c r="F512" s="310">
        <v>27526.468030609994</v>
      </c>
      <c r="G512" s="310">
        <v>27822.81495849073</v>
      </c>
      <c r="H512" s="310">
        <v>27920.134519767886</v>
      </c>
      <c r="I512" s="310">
        <v>28044.656075517105</v>
      </c>
      <c r="J512" s="310">
        <v>28230.104100045242</v>
      </c>
      <c r="K512" s="310">
        <v>28421.115565309221</v>
      </c>
      <c r="L512" s="310">
        <v>28617.857374531122</v>
      </c>
      <c r="M512" s="310">
        <v>28764.976368023428</v>
      </c>
      <c r="N512" s="311">
        <v>28973.699753426939</v>
      </c>
      <c r="O512" s="31">
        <v>29188.684840392561</v>
      </c>
      <c r="P512" s="31">
        <v>29410.11947996715</v>
      </c>
      <c r="Q512" s="31">
        <v>29582.672088722724</v>
      </c>
      <c r="R512" s="31">
        <v>29817.592097847402</v>
      </c>
      <c r="S512" s="31">
        <v>30059.559707245826</v>
      </c>
      <c r="T512" s="31">
        <v>30308.7863449262</v>
      </c>
      <c r="U512" s="31">
        <v>30509.964711730732</v>
      </c>
      <c r="V512" s="31">
        <v>30774.36925164584</v>
      </c>
      <c r="W512" s="31">
        <v>31046.705927758401</v>
      </c>
      <c r="X512" s="31">
        <v>16034.082716497524</v>
      </c>
    </row>
    <row r="513" spans="1:24">
      <c r="A513" s="260" t="s">
        <v>35</v>
      </c>
      <c r="B513" s="305">
        <f>NPV(0.1,D513:Y513)</f>
        <v>99938.759275613542</v>
      </c>
      <c r="C513" s="305">
        <f>B513-B503</f>
        <v>-33.747242860976257</v>
      </c>
      <c r="D513" s="309">
        <v>-1647.1534750954834</v>
      </c>
      <c r="E513" s="310">
        <v>3347.1205717947641</v>
      </c>
      <c r="F513" s="310">
        <v>3602.5263112108873</v>
      </c>
      <c r="G513" s="310">
        <v>8604.0897218410319</v>
      </c>
      <c r="H513" s="310">
        <v>12757.754747458594</v>
      </c>
      <c r="I513" s="310">
        <v>13973.669147949127</v>
      </c>
      <c r="J513" s="310">
        <v>14244.80166989526</v>
      </c>
      <c r="K513" s="310">
        <v>14925.668496675053</v>
      </c>
      <c r="L513" s="310">
        <v>15601.154777170774</v>
      </c>
      <c r="M513" s="310">
        <v>16553.100703640121</v>
      </c>
      <c r="N513" s="311">
        <v>17637.574809716858</v>
      </c>
      <c r="O513" s="31">
        <v>18093.581816092046</v>
      </c>
      <c r="P513" s="31">
        <v>18590.469185908121</v>
      </c>
      <c r="Q513" s="31">
        <v>19112.680486793772</v>
      </c>
      <c r="R513" s="31">
        <v>19591.634906945557</v>
      </c>
      <c r="S513" s="31">
        <v>20060.470833132698</v>
      </c>
      <c r="T513" s="31">
        <v>20518.369548574905</v>
      </c>
      <c r="U513" s="31">
        <v>21242.226382908411</v>
      </c>
      <c r="V513" s="31">
        <v>22017.002319184387</v>
      </c>
      <c r="W513" s="31">
        <v>22260.868293140935</v>
      </c>
      <c r="X513" s="31">
        <v>5893.5333390256346</v>
      </c>
    </row>
    <row r="514" spans="1:24">
      <c r="A514" s="260" t="s">
        <v>32</v>
      </c>
      <c r="B514" s="305">
        <f>NPV(0.1,D514:Y514)</f>
        <v>105771.96619528925</v>
      </c>
      <c r="C514" s="305">
        <f>B514-B504</f>
        <v>37.168486797003425</v>
      </c>
      <c r="D514" s="312">
        <v>-5859.8616535342226</v>
      </c>
      <c r="E514" s="313">
        <v>5926.0467581482517</v>
      </c>
      <c r="F514" s="313">
        <v>3166.1646102228769</v>
      </c>
      <c r="G514" s="313">
        <v>8735.5945169574115</v>
      </c>
      <c r="H514" s="313">
        <v>21037.130220001447</v>
      </c>
      <c r="I514" s="313">
        <v>21046.231337057776</v>
      </c>
      <c r="J514" s="313">
        <v>15520.825807472878</v>
      </c>
      <c r="K514" s="313">
        <v>16210.874015637421</v>
      </c>
      <c r="L514" s="313">
        <v>11436.178914748394</v>
      </c>
      <c r="M514" s="313">
        <v>8633.1411525962358</v>
      </c>
      <c r="N514" s="314">
        <v>23366.458947294475</v>
      </c>
      <c r="O514" s="31">
        <v>22843.507335054412</v>
      </c>
      <c r="P514" s="31">
        <v>23331.213323485739</v>
      </c>
      <c r="Q514" s="31">
        <v>23807.08093574988</v>
      </c>
      <c r="R514" s="31">
        <v>24332.379044523179</v>
      </c>
      <c r="S514" s="31">
        <v>22092.707462208957</v>
      </c>
      <c r="T514" s="31">
        <v>14901.398669149781</v>
      </c>
      <c r="U514" s="31">
        <v>13593.450433477035</v>
      </c>
      <c r="V514" s="31">
        <v>11459.331439759269</v>
      </c>
      <c r="W514" s="31">
        <v>9726.9174137158116</v>
      </c>
      <c r="X514" s="31">
        <v>10114.212459600516</v>
      </c>
    </row>
    <row r="516" spans="1:24">
      <c r="A516" s="29" t="s">
        <v>654</v>
      </c>
    </row>
    <row r="517" spans="1:24">
      <c r="A517" s="261">
        <v>36313</v>
      </c>
    </row>
    <row r="518" spans="1:24">
      <c r="A518" s="254" t="s">
        <v>379</v>
      </c>
      <c r="B518" s="255">
        <v>38795.689658244519</v>
      </c>
      <c r="C518" s="256"/>
      <c r="D518" s="256"/>
      <c r="E518" s="256"/>
      <c r="F518" s="256"/>
      <c r="G518" s="256"/>
      <c r="H518" s="256"/>
      <c r="I518" s="256"/>
      <c r="J518" s="256"/>
      <c r="K518" s="256"/>
      <c r="L518" s="256"/>
      <c r="M518" s="256"/>
      <c r="N518" s="256"/>
      <c r="O518" s="256"/>
      <c r="P518" s="256"/>
      <c r="Q518" s="256"/>
      <c r="R518" s="256"/>
      <c r="S518" s="256"/>
      <c r="T518" s="256"/>
      <c r="U518" s="256"/>
      <c r="V518" s="256"/>
    </row>
    <row r="519" spans="1:24">
      <c r="A519" s="257" t="s">
        <v>380</v>
      </c>
      <c r="B519" s="258">
        <v>74787.088611910091</v>
      </c>
      <c r="C519" s="256"/>
      <c r="D519" s="256"/>
      <c r="E519" s="256"/>
      <c r="F519" s="256"/>
      <c r="G519" s="256"/>
      <c r="H519" s="256"/>
      <c r="I519" s="256"/>
      <c r="J519" s="256"/>
      <c r="K519" s="256"/>
      <c r="L519" s="256"/>
      <c r="M519" s="256"/>
      <c r="N519" s="256"/>
      <c r="O519" s="256"/>
      <c r="P519" s="256"/>
      <c r="Q519" s="256"/>
      <c r="R519" s="256"/>
      <c r="S519" s="256"/>
      <c r="T519" s="256"/>
      <c r="U519" s="256"/>
      <c r="V519" s="256"/>
    </row>
    <row r="520" spans="1:24">
      <c r="A520" s="259" t="s">
        <v>383</v>
      </c>
      <c r="B520" s="304" t="s">
        <v>483</v>
      </c>
      <c r="C520" s="304" t="s">
        <v>484</v>
      </c>
      <c r="D520" s="306">
        <v>2000</v>
      </c>
      <c r="E520" s="307">
        <v>2001</v>
      </c>
      <c r="F520" s="307">
        <v>2002</v>
      </c>
      <c r="G520" s="307">
        <v>2003</v>
      </c>
      <c r="H520" s="307">
        <v>2004</v>
      </c>
      <c r="I520" s="307">
        <v>2005</v>
      </c>
      <c r="J520" s="307">
        <v>2006</v>
      </c>
      <c r="K520" s="307">
        <v>2007</v>
      </c>
      <c r="L520" s="307">
        <v>2008</v>
      </c>
      <c r="M520" s="307">
        <v>2009</v>
      </c>
      <c r="N520" s="308">
        <v>2010</v>
      </c>
      <c r="O520" s="256">
        <v>2011</v>
      </c>
      <c r="P520" s="256">
        <v>2012</v>
      </c>
      <c r="Q520" s="256">
        <v>2013</v>
      </c>
      <c r="R520" s="256">
        <v>2014</v>
      </c>
      <c r="S520" s="256">
        <v>2015</v>
      </c>
      <c r="T520" s="256">
        <v>2016</v>
      </c>
      <c r="U520" s="256">
        <v>2017</v>
      </c>
      <c r="V520" s="256">
        <v>2018</v>
      </c>
      <c r="W520" s="256">
        <v>2019</v>
      </c>
      <c r="X520" s="256">
        <v>2020</v>
      </c>
    </row>
    <row r="521" spans="1:24">
      <c r="A521" s="259" t="s">
        <v>381</v>
      </c>
      <c r="B521" s="305">
        <f>NPV(0.1,D521:Y521)</f>
        <v>548649.32799849799</v>
      </c>
      <c r="C521" s="305">
        <f>B521-B511</f>
        <v>87.937008886598051</v>
      </c>
      <c r="D521" s="309">
        <v>41364.1276</v>
      </c>
      <c r="E521" s="310">
        <v>53599.168868000001</v>
      </c>
      <c r="F521" s="310">
        <v>53676.461374039995</v>
      </c>
      <c r="G521" s="310">
        <v>61465.571098695575</v>
      </c>
      <c r="H521" s="310">
        <v>67464.240070386601</v>
      </c>
      <c r="I521" s="310">
        <v>68845.678958898192</v>
      </c>
      <c r="J521" s="310">
        <v>68789.168134888896</v>
      </c>
      <c r="K521" s="310">
        <v>69448.467532559807</v>
      </c>
      <c r="L521" s="310">
        <v>70104.689292177572</v>
      </c>
      <c r="M521" s="310">
        <v>70757.055386001099</v>
      </c>
      <c r="N521" s="311">
        <v>71404.74387449905</v>
      </c>
      <c r="O521" s="31">
        <v>72046.886971867512</v>
      </c>
      <c r="P521" s="31">
        <v>72682.569034999018</v>
      </c>
      <c r="Q521" s="31">
        <v>73310.824473051747</v>
      </c>
      <c r="R521" s="31">
        <v>73930.63557466412</v>
      </c>
      <c r="S521" s="31">
        <v>74540.930249755504</v>
      </c>
      <c r="T521" s="31">
        <v>75140.579682743162</v>
      </c>
      <c r="U521" s="31">
        <v>75728.395893893321</v>
      </c>
      <c r="V521" s="31">
        <v>76303.129205405989</v>
      </c>
      <c r="W521" s="31">
        <v>75777.196449457682</v>
      </c>
      <c r="X521" s="31">
        <v>33221.564296906639</v>
      </c>
    </row>
    <row r="522" spans="1:24">
      <c r="A522" s="260" t="s">
        <v>382</v>
      </c>
      <c r="B522" s="305">
        <f>NPV(0.1,D522:Y522)</f>
        <v>242674.11010664442</v>
      </c>
      <c r="C522" s="305">
        <f>B522-B512</f>
        <v>0</v>
      </c>
      <c r="D522" s="309">
        <v>25832.795801021453</v>
      </c>
      <c r="E522" s="310">
        <v>27375.853098686941</v>
      </c>
      <c r="F522" s="310">
        <v>27526.468030609994</v>
      </c>
      <c r="G522" s="310">
        <v>27822.81495849073</v>
      </c>
      <c r="H522" s="310">
        <v>27920.134519767886</v>
      </c>
      <c r="I522" s="310">
        <v>28044.656075517105</v>
      </c>
      <c r="J522" s="310">
        <v>28230.104100045242</v>
      </c>
      <c r="K522" s="310">
        <v>28421.115565309221</v>
      </c>
      <c r="L522" s="310">
        <v>28617.857374531122</v>
      </c>
      <c r="M522" s="310">
        <v>28764.976368023428</v>
      </c>
      <c r="N522" s="311">
        <v>28973.699753426939</v>
      </c>
      <c r="O522" s="31">
        <v>29188.684840392561</v>
      </c>
      <c r="P522" s="31">
        <v>29410.11947996715</v>
      </c>
      <c r="Q522" s="31">
        <v>29582.672088722724</v>
      </c>
      <c r="R522" s="31">
        <v>29817.592097847402</v>
      </c>
      <c r="S522" s="31">
        <v>30059.559707245826</v>
      </c>
      <c r="T522" s="31">
        <v>30308.7863449262</v>
      </c>
      <c r="U522" s="31">
        <v>30509.964711730732</v>
      </c>
      <c r="V522" s="31">
        <v>30774.36925164584</v>
      </c>
      <c r="W522" s="31">
        <v>31046.705927758401</v>
      </c>
      <c r="X522" s="31">
        <v>16034.082716497524</v>
      </c>
    </row>
    <row r="523" spans="1:24">
      <c r="A523" s="260" t="s">
        <v>35</v>
      </c>
      <c r="B523" s="305">
        <f>NPV(0.1,D523:Y523)</f>
        <v>99992.47749912976</v>
      </c>
      <c r="C523" s="305">
        <f>B523-B513</f>
        <v>53.718223516218131</v>
      </c>
      <c r="D523" s="309">
        <v>-1647.1534750954834</v>
      </c>
      <c r="E523" s="310">
        <v>3347.1205717947641</v>
      </c>
      <c r="F523" s="310">
        <v>3602.5263112108873</v>
      </c>
      <c r="G523" s="310">
        <v>8604.0897218410319</v>
      </c>
      <c r="H523" s="310">
        <v>12757.754747458594</v>
      </c>
      <c r="I523" s="310">
        <v>13973.669147949127</v>
      </c>
      <c r="J523" s="310">
        <v>14244.80166989526</v>
      </c>
      <c r="K523" s="310">
        <v>14925.668496675053</v>
      </c>
      <c r="L523" s="310">
        <v>15601.154777170774</v>
      </c>
      <c r="M523" s="310">
        <v>16553.100703640121</v>
      </c>
      <c r="N523" s="311">
        <v>17637.574809716858</v>
      </c>
      <c r="O523" s="31">
        <v>18093.581816092046</v>
      </c>
      <c r="P523" s="31">
        <v>18590.469185908121</v>
      </c>
      <c r="Q523" s="31">
        <v>19112.680486793772</v>
      </c>
      <c r="R523" s="31">
        <v>19591.634906945557</v>
      </c>
      <c r="S523" s="31">
        <v>20060.470833132698</v>
      </c>
      <c r="T523" s="31">
        <v>20518.369548574905</v>
      </c>
      <c r="U523" s="31">
        <v>21242.226382908411</v>
      </c>
      <c r="V523" s="31">
        <v>22017.002319184387</v>
      </c>
      <c r="W523" s="31">
        <v>22260.868293140935</v>
      </c>
      <c r="X523" s="31">
        <v>6291.0616196072042</v>
      </c>
    </row>
    <row r="524" spans="1:24">
      <c r="A524" s="260" t="s">
        <v>32</v>
      </c>
      <c r="B524" s="305">
        <f>NPV(0.1,D524:Y524)</f>
        <v>105825.68441880545</v>
      </c>
      <c r="C524" s="305">
        <f>B524-B514</f>
        <v>53.718223516203579</v>
      </c>
      <c r="D524" s="312">
        <v>-5859.8616535342226</v>
      </c>
      <c r="E524" s="313">
        <v>5926.0467581482517</v>
      </c>
      <c r="F524" s="313">
        <v>3166.1646102228769</v>
      </c>
      <c r="G524" s="313">
        <v>8735.5945169574115</v>
      </c>
      <c r="H524" s="313">
        <v>21037.130220001447</v>
      </c>
      <c r="I524" s="313">
        <v>21046.231337057776</v>
      </c>
      <c r="J524" s="313">
        <v>15520.825807472878</v>
      </c>
      <c r="K524" s="313">
        <v>16210.874015637421</v>
      </c>
      <c r="L524" s="313">
        <v>11436.178914748394</v>
      </c>
      <c r="M524" s="313">
        <v>8633.1411525962358</v>
      </c>
      <c r="N524" s="314">
        <v>23366.458947294475</v>
      </c>
      <c r="O524" s="31">
        <v>22843.507335054412</v>
      </c>
      <c r="P524" s="31">
        <v>23331.213323485739</v>
      </c>
      <c r="Q524" s="31">
        <v>23807.08093574988</v>
      </c>
      <c r="R524" s="31">
        <v>24332.379044523179</v>
      </c>
      <c r="S524" s="31">
        <v>22092.707462208957</v>
      </c>
      <c r="T524" s="31">
        <v>14901.398669149781</v>
      </c>
      <c r="U524" s="31">
        <v>13593.450433477035</v>
      </c>
      <c r="V524" s="31">
        <v>11459.331439759269</v>
      </c>
      <c r="W524" s="31">
        <v>9726.9174137158116</v>
      </c>
      <c r="X524" s="31">
        <v>10511.740740182086</v>
      </c>
    </row>
    <row r="526" spans="1:24">
      <c r="A526" s="29" t="s">
        <v>657</v>
      </c>
    </row>
    <row r="527" spans="1:24">
      <c r="A527" s="261">
        <v>36322</v>
      </c>
    </row>
    <row r="528" spans="1:24">
      <c r="A528" s="254" t="s">
        <v>379</v>
      </c>
      <c r="B528" s="255">
        <v>36497.141809950968</v>
      </c>
      <c r="C528" s="256"/>
      <c r="D528" s="256"/>
      <c r="E528" s="256"/>
      <c r="F528" s="256"/>
      <c r="G528" s="256"/>
      <c r="H528" s="256"/>
      <c r="I528" s="256"/>
      <c r="J528" s="256"/>
      <c r="K528" s="256"/>
      <c r="L528" s="256"/>
      <c r="M528" s="256"/>
      <c r="N528" s="256"/>
      <c r="O528" s="256"/>
      <c r="P528" s="256"/>
      <c r="Q528" s="256"/>
      <c r="R528" s="256"/>
      <c r="S528" s="256"/>
      <c r="T528" s="256"/>
      <c r="U528" s="256"/>
      <c r="V528" s="256"/>
    </row>
    <row r="529" spans="1:24">
      <c r="A529" s="257" t="s">
        <v>380</v>
      </c>
      <c r="B529" s="258">
        <v>72092.291958676578</v>
      </c>
      <c r="C529" s="256"/>
      <c r="D529" s="256"/>
      <c r="E529" s="256"/>
      <c r="F529" s="256"/>
      <c r="G529" s="256"/>
      <c r="H529" s="256"/>
      <c r="I529" s="256"/>
      <c r="J529" s="256"/>
      <c r="K529" s="256"/>
      <c r="L529" s="256"/>
      <c r="M529" s="256"/>
      <c r="N529" s="256"/>
      <c r="O529" s="256"/>
      <c r="P529" s="256"/>
      <c r="Q529" s="256"/>
      <c r="R529" s="256"/>
      <c r="S529" s="256"/>
      <c r="T529" s="256"/>
      <c r="U529" s="256"/>
      <c r="V529" s="256"/>
    </row>
    <row r="530" spans="1:24">
      <c r="A530" s="259" t="s">
        <v>383</v>
      </c>
      <c r="B530" s="304" t="s">
        <v>483</v>
      </c>
      <c r="C530" s="304" t="s">
        <v>484</v>
      </c>
      <c r="D530" s="306">
        <v>2000</v>
      </c>
      <c r="E530" s="307">
        <v>2001</v>
      </c>
      <c r="F530" s="307">
        <v>2002</v>
      </c>
      <c r="G530" s="307">
        <v>2003</v>
      </c>
      <c r="H530" s="307">
        <v>2004</v>
      </c>
      <c r="I530" s="307">
        <v>2005</v>
      </c>
      <c r="J530" s="307">
        <v>2006</v>
      </c>
      <c r="K530" s="307">
        <v>2007</v>
      </c>
      <c r="L530" s="307">
        <v>2008</v>
      </c>
      <c r="M530" s="307">
        <v>2009</v>
      </c>
      <c r="N530" s="308">
        <v>2010</v>
      </c>
      <c r="O530" s="256">
        <v>2011</v>
      </c>
      <c r="P530" s="256">
        <v>2012</v>
      </c>
      <c r="Q530" s="256">
        <v>2013</v>
      </c>
      <c r="R530" s="256">
        <v>2014</v>
      </c>
      <c r="S530" s="256">
        <v>2015</v>
      </c>
      <c r="T530" s="256">
        <v>2016</v>
      </c>
      <c r="U530" s="256">
        <v>2017</v>
      </c>
      <c r="V530" s="256">
        <v>2018</v>
      </c>
      <c r="W530" s="256">
        <v>2019</v>
      </c>
      <c r="X530" s="256">
        <v>2020</v>
      </c>
    </row>
    <row r="531" spans="1:24">
      <c r="A531" s="259" t="s">
        <v>381</v>
      </c>
      <c r="B531" s="305">
        <f>NPV(0.1,D531:Y531)</f>
        <v>551504.80005135387</v>
      </c>
      <c r="C531" s="305">
        <f>B531-B521</f>
        <v>2855.4720528558828</v>
      </c>
      <c r="D531" s="309">
        <v>41716.1296</v>
      </c>
      <c r="E531" s="310">
        <v>53951.170868000001</v>
      </c>
      <c r="F531" s="310">
        <v>54028.463374039995</v>
      </c>
      <c r="G531" s="310">
        <v>61812.682582209432</v>
      </c>
      <c r="H531" s="310">
        <v>67801.647273500785</v>
      </c>
      <c r="I531" s="310">
        <v>69182.648318105828</v>
      </c>
      <c r="J531" s="310">
        <v>69125.686514872737</v>
      </c>
      <c r="K531" s="310">
        <v>69784.521403943174</v>
      </c>
      <c r="L531" s="310">
        <v>70440.26471970242</v>
      </c>
      <c r="M531" s="310">
        <v>71092.138016351702</v>
      </c>
      <c r="N531" s="311">
        <v>71739.318923760176</v>
      </c>
      <c r="O531" s="31">
        <v>72380.939212606478</v>
      </c>
      <c r="P531" s="31">
        <v>73016.082782960162</v>
      </c>
      <c r="Q531" s="31">
        <v>73643.783573451714</v>
      </c>
      <c r="R531" s="31">
        <v>74263.023388076079</v>
      </c>
      <c r="S531" s="31">
        <v>74872.729637569821</v>
      </c>
      <c r="T531" s="31">
        <v>75471.772992191924</v>
      </c>
      <c r="U531" s="31">
        <v>76058.96494262552</v>
      </c>
      <c r="V531" s="31">
        <v>76633.055265600182</v>
      </c>
      <c r="W531" s="31">
        <v>76106.460231457706</v>
      </c>
      <c r="X531" s="31">
        <v>32886.292446652114</v>
      </c>
    </row>
    <row r="532" spans="1:24">
      <c r="A532" s="260" t="s">
        <v>382</v>
      </c>
      <c r="B532" s="305">
        <f>NPV(0.1,D532:Y532)</f>
        <v>245440.43444336686</v>
      </c>
      <c r="C532" s="305">
        <f>B532-B522</f>
        <v>2766.324336722435</v>
      </c>
      <c r="D532" s="309">
        <v>26188.946068721456</v>
      </c>
      <c r="E532" s="310">
        <v>27713.164601574405</v>
      </c>
      <c r="F532" s="310">
        <v>27863.779533497458</v>
      </c>
      <c r="G532" s="310">
        <v>28155.235944892047</v>
      </c>
      <c r="H532" s="310">
        <v>28242.851225769537</v>
      </c>
      <c r="I532" s="310">
        <v>28369.029658681691</v>
      </c>
      <c r="J532" s="310">
        <v>28554.026703986059</v>
      </c>
      <c r="K532" s="310">
        <v>28744.573660649552</v>
      </c>
      <c r="L532" s="310">
        <v>28940.837026012956</v>
      </c>
      <c r="M532" s="310">
        <v>29089.557943400512</v>
      </c>
      <c r="N532" s="311">
        <v>29297.773747714542</v>
      </c>
      <c r="O532" s="31">
        <v>29512.236026157996</v>
      </c>
      <c r="P532" s="31">
        <v>29733.132172954753</v>
      </c>
      <c r="Q532" s="31">
        <v>29907.224855218668</v>
      </c>
      <c r="R532" s="31">
        <v>30141.573577355342</v>
      </c>
      <c r="S532" s="31">
        <v>30382.952761156128</v>
      </c>
      <c r="T532" s="31">
        <v>30631.573320470929</v>
      </c>
      <c r="U532" s="31">
        <v>30834.222147628421</v>
      </c>
      <c r="V532" s="31">
        <v>31097.983699005501</v>
      </c>
      <c r="W532" s="31">
        <v>31369.658096923889</v>
      </c>
      <c r="X532" s="31">
        <v>15692.499253408478</v>
      </c>
    </row>
    <row r="533" spans="1:24">
      <c r="A533" s="260" t="s">
        <v>35</v>
      </c>
      <c r="B533" s="305">
        <f>NPV(0.1,D533:Y533)</f>
        <v>99743.360304586415</v>
      </c>
      <c r="C533" s="305">
        <f>B533-B523</f>
        <v>-249.11719454334525</v>
      </c>
      <c r="D533" s="309">
        <v>-1656.1461168177871</v>
      </c>
      <c r="E533" s="310">
        <v>3345.0227235954389</v>
      </c>
      <c r="F533" s="310">
        <v>3600.4284630115621</v>
      </c>
      <c r="G533" s="310">
        <v>8601.9918736417094</v>
      </c>
      <c r="H533" s="310">
        <v>12755.656899259264</v>
      </c>
      <c r="I533" s="310">
        <v>13943.538221840665</v>
      </c>
      <c r="J533" s="310">
        <v>14195.561120754273</v>
      </c>
      <c r="K533" s="310">
        <v>14876.427947534079</v>
      </c>
      <c r="L533" s="310">
        <v>15551.914228029784</v>
      </c>
      <c r="M533" s="310">
        <v>16502.580548835493</v>
      </c>
      <c r="N533" s="311">
        <v>17587.054654912226</v>
      </c>
      <c r="O533" s="31">
        <v>18043.061661287422</v>
      </c>
      <c r="P533" s="31">
        <v>18539.949031103508</v>
      </c>
      <c r="Q533" s="31">
        <v>19060.8807263255</v>
      </c>
      <c r="R533" s="31">
        <v>19539.835146477279</v>
      </c>
      <c r="S533" s="31">
        <v>20008.671072664416</v>
      </c>
      <c r="T533" s="31">
        <v>20466.56978810663</v>
      </c>
      <c r="U533" s="31">
        <v>21189.147016776482</v>
      </c>
      <c r="V533" s="31">
        <v>21963.922953052468</v>
      </c>
      <c r="W533" s="31">
        <v>22207.788927009024</v>
      </c>
      <c r="X533" s="31">
        <v>6237.9822534752793</v>
      </c>
    </row>
    <row r="534" spans="1:24">
      <c r="A534" s="260" t="s">
        <v>32</v>
      </c>
      <c r="B534" s="305">
        <f>NPV(0.1,D534:Y534)</f>
        <v>106343.41584410456</v>
      </c>
      <c r="C534" s="305">
        <f>B534-B524</f>
        <v>517.73142529910547</v>
      </c>
      <c r="D534" s="312">
        <v>-5864.0617745804739</v>
      </c>
      <c r="E534" s="313">
        <v>5923.4648775621645</v>
      </c>
      <c r="F534" s="313">
        <v>3181.0387385493195</v>
      </c>
      <c r="G534" s="313">
        <v>8750.4686452838505</v>
      </c>
      <c r="H534" s="313">
        <v>21052.004348327886</v>
      </c>
      <c r="I534" s="313">
        <v>21431.211289297902</v>
      </c>
      <c r="J534" s="313">
        <v>15602.138231922054</v>
      </c>
      <c r="K534" s="313">
        <v>16292.311216395541</v>
      </c>
      <c r="L534" s="313">
        <v>11517.491339197561</v>
      </c>
      <c r="M534" s="313">
        <v>8715.3934687601995</v>
      </c>
      <c r="N534" s="314">
        <v>23446.491766080006</v>
      </c>
      <c r="O534" s="31">
        <v>22923.664930148883</v>
      </c>
      <c r="P534" s="31">
        <v>23411.246142271288</v>
      </c>
      <c r="Q534" s="31">
        <v>23888.05364625021</v>
      </c>
      <c r="R534" s="31">
        <v>24411.132257645051</v>
      </c>
      <c r="S534" s="31">
        <v>22134.651664196008</v>
      </c>
      <c r="T534" s="31">
        <v>14906.53386000203</v>
      </c>
      <c r="U534" s="31">
        <v>13599.400739735138</v>
      </c>
      <c r="V534" s="31">
        <v>11463.187024947867</v>
      </c>
      <c r="W534" s="31">
        <v>9730.7729989044201</v>
      </c>
      <c r="X534" s="31">
        <v>10515.59632537068</v>
      </c>
    </row>
    <row r="536" spans="1:24">
      <c r="A536" s="29" t="s">
        <v>659</v>
      </c>
    </row>
    <row r="537" spans="1:24">
      <c r="A537" s="261">
        <v>36343</v>
      </c>
    </row>
    <row r="538" spans="1:24">
      <c r="A538" s="254" t="s">
        <v>379</v>
      </c>
      <c r="B538" s="255">
        <v>40044.481028988412</v>
      </c>
      <c r="C538" s="256"/>
      <c r="D538" s="256"/>
      <c r="E538" s="256"/>
      <c r="F538" s="256"/>
      <c r="G538" s="256"/>
      <c r="H538" s="256"/>
      <c r="I538" s="256"/>
      <c r="J538" s="256"/>
      <c r="K538" s="256"/>
      <c r="L538" s="256"/>
      <c r="M538" s="256"/>
      <c r="N538" s="256"/>
      <c r="O538" s="256"/>
      <c r="P538" s="256"/>
      <c r="Q538" s="256"/>
      <c r="R538" s="256"/>
      <c r="S538" s="256"/>
      <c r="T538" s="256"/>
      <c r="U538" s="256"/>
      <c r="V538" s="256"/>
    </row>
    <row r="539" spans="1:24">
      <c r="A539" s="257" t="s">
        <v>380</v>
      </c>
      <c r="B539" s="258">
        <v>76267.357098412191</v>
      </c>
      <c r="C539" s="256"/>
      <c r="D539" s="256"/>
      <c r="E539" s="256"/>
      <c r="F539" s="256"/>
      <c r="G539" s="256"/>
      <c r="H539" s="256"/>
      <c r="I539" s="256"/>
      <c r="J539" s="256"/>
      <c r="K539" s="256"/>
      <c r="L539" s="256"/>
      <c r="M539" s="256"/>
      <c r="N539" s="256"/>
      <c r="O539" s="256"/>
      <c r="P539" s="256"/>
      <c r="Q539" s="256"/>
      <c r="R539" s="256"/>
      <c r="S539" s="256"/>
      <c r="T539" s="256"/>
      <c r="U539" s="256"/>
      <c r="V539" s="256"/>
    </row>
    <row r="540" spans="1:24">
      <c r="A540" s="259" t="s">
        <v>383</v>
      </c>
      <c r="B540" s="304" t="s">
        <v>483</v>
      </c>
      <c r="C540" s="304" t="s">
        <v>484</v>
      </c>
      <c r="D540" s="306">
        <v>2000</v>
      </c>
      <c r="E540" s="307">
        <v>2001</v>
      </c>
      <c r="F540" s="307">
        <v>2002</v>
      </c>
      <c r="G540" s="307">
        <v>2003</v>
      </c>
      <c r="H540" s="307">
        <v>2004</v>
      </c>
      <c r="I540" s="307">
        <v>2005</v>
      </c>
      <c r="J540" s="307">
        <v>2006</v>
      </c>
      <c r="K540" s="307">
        <v>2007</v>
      </c>
      <c r="L540" s="307">
        <v>2008</v>
      </c>
      <c r="M540" s="307">
        <v>2009</v>
      </c>
      <c r="N540" s="308">
        <v>2010</v>
      </c>
      <c r="O540" s="256">
        <v>2011</v>
      </c>
      <c r="P540" s="256">
        <v>2012</v>
      </c>
      <c r="Q540" s="256">
        <v>2013</v>
      </c>
      <c r="R540" s="256">
        <v>2014</v>
      </c>
      <c r="S540" s="256">
        <v>2015</v>
      </c>
      <c r="T540" s="256">
        <v>2016</v>
      </c>
      <c r="U540" s="256">
        <v>2017</v>
      </c>
      <c r="V540" s="256">
        <v>2018</v>
      </c>
      <c r="W540" s="256">
        <v>2019</v>
      </c>
      <c r="X540" s="256">
        <v>2020</v>
      </c>
    </row>
    <row r="541" spans="1:24">
      <c r="A541" s="259" t="s">
        <v>381</v>
      </c>
      <c r="B541" s="305">
        <f>NPV(0.1,D541:Y541)</f>
        <v>551504.80005135387</v>
      </c>
      <c r="C541" s="305">
        <f>B541-B531</f>
        <v>0</v>
      </c>
      <c r="D541" s="309">
        <v>41716.1296</v>
      </c>
      <c r="E541" s="310">
        <v>53951.170868000001</v>
      </c>
      <c r="F541" s="310">
        <v>54028.463374039995</v>
      </c>
      <c r="G541" s="310">
        <v>61812.682582209432</v>
      </c>
      <c r="H541" s="310">
        <v>67801.647273500785</v>
      </c>
      <c r="I541" s="310">
        <v>69182.648318105828</v>
      </c>
      <c r="J541" s="310">
        <v>69125.686514872737</v>
      </c>
      <c r="K541" s="310">
        <v>69784.521403943174</v>
      </c>
      <c r="L541" s="310">
        <v>70440.26471970242</v>
      </c>
      <c r="M541" s="310">
        <v>71092.138016351702</v>
      </c>
      <c r="N541" s="311">
        <v>71739.318923760176</v>
      </c>
      <c r="O541" s="31">
        <v>72380.939212606478</v>
      </c>
      <c r="P541" s="31">
        <v>73016.082782960162</v>
      </c>
      <c r="Q541" s="31">
        <v>73643.783573451714</v>
      </c>
      <c r="R541" s="31">
        <v>74263.023388076079</v>
      </c>
      <c r="S541" s="31">
        <v>74872.729637569821</v>
      </c>
      <c r="T541" s="31">
        <v>75471.772992191924</v>
      </c>
      <c r="U541" s="31">
        <v>76058.96494262552</v>
      </c>
      <c r="V541" s="31">
        <v>76633.055265600182</v>
      </c>
      <c r="W541" s="31">
        <v>76106.460231457706</v>
      </c>
      <c r="X541" s="31">
        <v>32886.292446652114</v>
      </c>
    </row>
    <row r="542" spans="1:24">
      <c r="A542" s="260" t="s">
        <v>382</v>
      </c>
      <c r="B542" s="305">
        <f>NPV(0.1,D542:Y542)</f>
        <v>245512.56090420592</v>
      </c>
      <c r="C542" s="305">
        <f>B542-B532</f>
        <v>72.126460839062929</v>
      </c>
      <c r="D542" s="309">
        <v>26182.600626221454</v>
      </c>
      <c r="E542" s="310">
        <v>27725.827348315186</v>
      </c>
      <c r="F542" s="310">
        <v>27876.44228023824</v>
      </c>
      <c r="G542" s="310">
        <v>28167.898691632829</v>
      </c>
      <c r="H542" s="310">
        <v>28255.513972510318</v>
      </c>
      <c r="I542" s="310">
        <v>28379.665240413578</v>
      </c>
      <c r="J542" s="310">
        <v>28564.662285717946</v>
      </c>
      <c r="K542" s="310">
        <v>28755.209242381439</v>
      </c>
      <c r="L542" s="310">
        <v>28951.472607744843</v>
      </c>
      <c r="M542" s="310">
        <v>29098.166360123505</v>
      </c>
      <c r="N542" s="311">
        <v>29306.382164437535</v>
      </c>
      <c r="O542" s="31">
        <v>29520.844442880989</v>
      </c>
      <c r="P542" s="31">
        <v>29741.740589677745</v>
      </c>
      <c r="Q542" s="31">
        <v>29913.806106932767</v>
      </c>
      <c r="R542" s="31">
        <v>30148.154829069441</v>
      </c>
      <c r="S542" s="31">
        <v>30389.534012870226</v>
      </c>
      <c r="T542" s="31">
        <v>30638.154572185027</v>
      </c>
      <c r="U542" s="31">
        <v>30838.776234333629</v>
      </c>
      <c r="V542" s="31">
        <v>31102.537785710709</v>
      </c>
      <c r="W542" s="31">
        <v>31374.212183629097</v>
      </c>
      <c r="X542" s="31">
        <v>15697.053340113684</v>
      </c>
    </row>
    <row r="543" spans="1:24">
      <c r="A543" s="260" t="s">
        <v>35</v>
      </c>
      <c r="B543" s="305">
        <f>NPV(0.1,D543:Y543)</f>
        <v>100168.03048311333</v>
      </c>
      <c r="C543" s="305">
        <f>B543-B533</f>
        <v>424.6701785269106</v>
      </c>
      <c r="D543" s="309">
        <v>-1641.4914721292678</v>
      </c>
      <c r="E543" s="310">
        <v>3355.7646576321317</v>
      </c>
      <c r="F543" s="310">
        <v>3611.1703970482549</v>
      </c>
      <c r="G543" s="310">
        <v>8612.7338076784017</v>
      </c>
      <c r="H543" s="310">
        <v>12766.398833295956</v>
      </c>
      <c r="I543" s="310">
        <v>13995.384639370986</v>
      </c>
      <c r="J543" s="310">
        <v>14275.883356792101</v>
      </c>
      <c r="K543" s="310">
        <v>14956.750183571898</v>
      </c>
      <c r="L543" s="310">
        <v>15632.236464067608</v>
      </c>
      <c r="M543" s="310">
        <v>16584.14112245644</v>
      </c>
      <c r="N543" s="311">
        <v>17668.615228533177</v>
      </c>
      <c r="O543" s="31">
        <v>18124.622234908369</v>
      </c>
      <c r="P543" s="31">
        <v>18621.509604724451</v>
      </c>
      <c r="Q543" s="31">
        <v>19143.679637529574</v>
      </c>
      <c r="R543" s="31">
        <v>19622.634057681353</v>
      </c>
      <c r="S543" s="31">
        <v>20091.469983868497</v>
      </c>
      <c r="T543" s="31">
        <v>20549.368699310704</v>
      </c>
      <c r="U543" s="31">
        <v>21273.184265563679</v>
      </c>
      <c r="V543" s="31">
        <v>22047.960201839669</v>
      </c>
      <c r="W543" s="31">
        <v>22291.826175796217</v>
      </c>
      <c r="X543" s="31">
        <v>6322.0195022624785</v>
      </c>
    </row>
    <row r="544" spans="1:24">
      <c r="A544" s="260" t="s">
        <v>32</v>
      </c>
      <c r="B544" s="305">
        <f>NPV(0.1,D544:Y544)</f>
        <v>105585.99048760891</v>
      </c>
      <c r="C544" s="305">
        <f>B544-B534</f>
        <v>-757.42535649564525</v>
      </c>
      <c r="D544" s="312">
        <v>-5857.6370140492218</v>
      </c>
      <c r="E544" s="313">
        <v>5927.5368882278963</v>
      </c>
      <c r="F544" s="313">
        <v>3168.2177074742758</v>
      </c>
      <c r="G544" s="313">
        <v>8737.6476142088068</v>
      </c>
      <c r="H544" s="313">
        <v>21039.183317252842</v>
      </c>
      <c r="I544" s="313">
        <v>20829.671625749463</v>
      </c>
      <c r="J544" s="313">
        <v>15483.382293388644</v>
      </c>
      <c r="K544" s="313">
        <v>16173.365008432567</v>
      </c>
      <c r="L544" s="313">
        <v>11398.735400664151</v>
      </c>
      <c r="M544" s="313">
        <v>8595.6584333714636</v>
      </c>
      <c r="N544" s="314">
        <v>23328.974165129715</v>
      </c>
      <c r="O544" s="31">
        <v>22805.95705976904</v>
      </c>
      <c r="P544" s="31">
        <v>23293.72854132099</v>
      </c>
      <c r="Q544" s="31">
        <v>23769.556948444602</v>
      </c>
      <c r="R544" s="31">
        <v>24294.852994277895</v>
      </c>
      <c r="S544" s="31">
        <v>22074.501882547869</v>
      </c>
      <c r="T544" s="31">
        <v>14902.513560072903</v>
      </c>
      <c r="U544" s="31">
        <v>13594.591612380234</v>
      </c>
      <c r="V544" s="31">
        <v>11460.405062601869</v>
      </c>
      <c r="W544" s="31">
        <v>9727.9910365584183</v>
      </c>
      <c r="X544" s="31">
        <v>10512.81436302468</v>
      </c>
    </row>
    <row r="546" spans="1:24">
      <c r="A546" s="29" t="s">
        <v>660</v>
      </c>
    </row>
    <row r="547" spans="1:24">
      <c r="A547" s="261">
        <v>36349</v>
      </c>
    </row>
    <row r="548" spans="1:24">
      <c r="A548" s="254" t="s">
        <v>379</v>
      </c>
      <c r="B548" s="255">
        <v>40410.980176346799</v>
      </c>
      <c r="C548" s="256"/>
      <c r="D548" s="256"/>
      <c r="E548" s="256"/>
      <c r="F548" s="256"/>
      <c r="G548" s="256"/>
      <c r="H548" s="256"/>
      <c r="I548" s="256"/>
      <c r="J548" s="256"/>
      <c r="K548" s="256"/>
      <c r="L548" s="256"/>
      <c r="M548" s="256"/>
      <c r="N548" s="256"/>
      <c r="O548" s="256"/>
      <c r="P548" s="256"/>
      <c r="Q548" s="256"/>
      <c r="R548" s="256"/>
      <c r="S548" s="256"/>
      <c r="T548" s="256"/>
      <c r="U548" s="256"/>
      <c r="V548" s="256"/>
    </row>
    <row r="549" spans="1:24">
      <c r="A549" s="257" t="s">
        <v>380</v>
      </c>
      <c r="B549" s="258">
        <v>76871.981367049782</v>
      </c>
      <c r="C549" s="256"/>
      <c r="D549" s="256"/>
      <c r="E549" s="256"/>
      <c r="F549" s="256"/>
      <c r="G549" s="256"/>
      <c r="H549" s="256"/>
      <c r="I549" s="256"/>
      <c r="J549" s="256"/>
      <c r="K549" s="256"/>
      <c r="L549" s="256"/>
      <c r="M549" s="256"/>
      <c r="N549" s="256"/>
      <c r="O549" s="256"/>
      <c r="P549" s="256"/>
      <c r="Q549" s="256"/>
      <c r="R549" s="256"/>
      <c r="S549" s="256"/>
      <c r="T549" s="256"/>
      <c r="U549" s="256"/>
      <c r="V549" s="256"/>
    </row>
    <row r="550" spans="1:24">
      <c r="A550" s="259" t="s">
        <v>383</v>
      </c>
      <c r="B550" s="304" t="s">
        <v>483</v>
      </c>
      <c r="C550" s="304" t="s">
        <v>484</v>
      </c>
      <c r="D550" s="306">
        <v>2000</v>
      </c>
      <c r="E550" s="307">
        <v>2001</v>
      </c>
      <c r="F550" s="307">
        <v>2002</v>
      </c>
      <c r="G550" s="307">
        <v>2003</v>
      </c>
      <c r="H550" s="307">
        <v>2004</v>
      </c>
      <c r="I550" s="307">
        <v>2005</v>
      </c>
      <c r="J550" s="307">
        <v>2006</v>
      </c>
      <c r="K550" s="307">
        <v>2007</v>
      </c>
      <c r="L550" s="307">
        <v>2008</v>
      </c>
      <c r="M550" s="307">
        <v>2009</v>
      </c>
      <c r="N550" s="308">
        <v>2010</v>
      </c>
      <c r="O550" s="256">
        <v>2011</v>
      </c>
      <c r="P550" s="256">
        <v>2012</v>
      </c>
      <c r="Q550" s="256">
        <v>2013</v>
      </c>
      <c r="R550" s="256">
        <v>2014</v>
      </c>
      <c r="S550" s="256">
        <v>2015</v>
      </c>
      <c r="T550" s="256">
        <v>2016</v>
      </c>
      <c r="U550" s="256">
        <v>2017</v>
      </c>
      <c r="V550" s="256">
        <v>2018</v>
      </c>
      <c r="W550" s="256">
        <v>2019</v>
      </c>
      <c r="X550" s="256">
        <v>2020</v>
      </c>
    </row>
    <row r="551" spans="1:24">
      <c r="A551" s="259" t="s">
        <v>381</v>
      </c>
      <c r="B551" s="305">
        <f>NPV(0.1,D551:Y551)</f>
        <v>551504.80005135387</v>
      </c>
      <c r="C551" s="305">
        <f>B551-B541</f>
        <v>0</v>
      </c>
      <c r="D551" s="309">
        <v>41716.1296</v>
      </c>
      <c r="E551" s="310">
        <v>53951.170868000001</v>
      </c>
      <c r="F551" s="310">
        <v>54028.463374039995</v>
      </c>
      <c r="G551" s="310">
        <v>61812.682582209432</v>
      </c>
      <c r="H551" s="310">
        <v>67801.647273500785</v>
      </c>
      <c r="I551" s="310">
        <v>69182.648318105828</v>
      </c>
      <c r="J551" s="310">
        <v>69125.686514872737</v>
      </c>
      <c r="K551" s="310">
        <v>69784.521403943174</v>
      </c>
      <c r="L551" s="310">
        <v>70440.26471970242</v>
      </c>
      <c r="M551" s="310">
        <v>71092.138016351702</v>
      </c>
      <c r="N551" s="311">
        <v>71739.318923760176</v>
      </c>
      <c r="O551" s="31">
        <v>72380.939212606478</v>
      </c>
      <c r="P551" s="31">
        <v>73016.082782960162</v>
      </c>
      <c r="Q551" s="31">
        <v>73643.783573451714</v>
      </c>
      <c r="R551" s="31">
        <v>74263.023388076079</v>
      </c>
      <c r="S551" s="31">
        <v>74872.729637569821</v>
      </c>
      <c r="T551" s="31">
        <v>75471.772992191924</v>
      </c>
      <c r="U551" s="31">
        <v>76058.96494262552</v>
      </c>
      <c r="V551" s="31">
        <v>76633.055265600182</v>
      </c>
      <c r="W551" s="31">
        <v>76106.460231457706</v>
      </c>
      <c r="X551" s="31">
        <v>32886.292446652114</v>
      </c>
    </row>
    <row r="552" spans="1:24">
      <c r="A552" s="260" t="s">
        <v>382</v>
      </c>
      <c r="B552" s="305">
        <f>NPV(0.1,D552:Y552)</f>
        <v>244778.89254481113</v>
      </c>
      <c r="C552" s="305">
        <f>B552-B542</f>
        <v>-733.66835939479643</v>
      </c>
      <c r="D552" s="309">
        <v>26182.600626221454</v>
      </c>
      <c r="E552" s="310">
        <v>27613.803170144987</v>
      </c>
      <c r="F552" s="310">
        <v>27764.418102068041</v>
      </c>
      <c r="G552" s="310">
        <v>28055.87451346263</v>
      </c>
      <c r="H552" s="310">
        <v>28143.489794340119</v>
      </c>
      <c r="I552" s="310">
        <v>28281.083963623805</v>
      </c>
      <c r="J552" s="310">
        <v>28466.081008928173</v>
      </c>
      <c r="K552" s="310">
        <v>28656.627965591666</v>
      </c>
      <c r="L552" s="310">
        <v>28852.89133095507</v>
      </c>
      <c r="M552" s="310">
        <v>29013.027984714154</v>
      </c>
      <c r="N552" s="311">
        <v>29221.243789028184</v>
      </c>
      <c r="O552" s="31">
        <v>29435.706067471638</v>
      </c>
      <c r="P552" s="31">
        <v>29656.602214268394</v>
      </c>
      <c r="Q552" s="31">
        <v>29842.110632903841</v>
      </c>
      <c r="R552" s="31">
        <v>30076.459355040515</v>
      </c>
      <c r="S552" s="31">
        <v>30317.838538841301</v>
      </c>
      <c r="T552" s="31">
        <v>30566.459098156101</v>
      </c>
      <c r="U552" s="31">
        <v>30780.523661685125</v>
      </c>
      <c r="V552" s="31">
        <v>31044.285213062205</v>
      </c>
      <c r="W552" s="31">
        <v>31315.959610980593</v>
      </c>
      <c r="X552" s="31">
        <v>15638.80076746518</v>
      </c>
    </row>
    <row r="553" spans="1:24">
      <c r="A553" s="260" t="s">
        <v>35</v>
      </c>
      <c r="B553" s="305">
        <f>NPV(0.1,D553:Y553)</f>
        <v>100616.20766602796</v>
      </c>
      <c r="C553" s="305">
        <f>B553-B543</f>
        <v>448.17718291463098</v>
      </c>
      <c r="D553" s="309">
        <v>-1641.4914721292678</v>
      </c>
      <c r="E553" s="310">
        <v>3424.1970493902509</v>
      </c>
      <c r="F553" s="310">
        <v>3679.6027888063745</v>
      </c>
      <c r="G553" s="310">
        <v>8681.1661994365204</v>
      </c>
      <c r="H553" s="310">
        <v>12834.83122505408</v>
      </c>
      <c r="I553" s="310">
        <v>14055.60514411813</v>
      </c>
      <c r="J553" s="310">
        <v>14336.103861539244</v>
      </c>
      <c r="K553" s="310">
        <v>15016.970688319043</v>
      </c>
      <c r="L553" s="310">
        <v>15692.456968814751</v>
      </c>
      <c r="M553" s="310">
        <v>16636.14974019261</v>
      </c>
      <c r="N553" s="311">
        <v>17720.623846269344</v>
      </c>
      <c r="O553" s="31">
        <v>18176.630852644543</v>
      </c>
      <c r="P553" s="31">
        <v>18673.518222460625</v>
      </c>
      <c r="Q553" s="31">
        <v>19187.476368254767</v>
      </c>
      <c r="R553" s="31">
        <v>19666.430788406549</v>
      </c>
      <c r="S553" s="31">
        <v>20135.266714593687</v>
      </c>
      <c r="T553" s="31">
        <v>20593.165430035897</v>
      </c>
      <c r="U553" s="31">
        <v>21308.769109277899</v>
      </c>
      <c r="V553" s="31">
        <v>22083.545045553888</v>
      </c>
      <c r="W553" s="31">
        <v>22327.41101951044</v>
      </c>
      <c r="X553" s="31">
        <v>6357.6043459767006</v>
      </c>
    </row>
    <row r="554" spans="1:24">
      <c r="A554" s="260" t="s">
        <v>32</v>
      </c>
      <c r="B554" s="305">
        <f>NPV(0.1,D554:Y554)</f>
        <v>105988.38052413861</v>
      </c>
      <c r="C554" s="305">
        <f>B554-B544</f>
        <v>402.39003652970132</v>
      </c>
      <c r="D554" s="312">
        <v>-5857.6370140492218</v>
      </c>
      <c r="E554" s="313">
        <v>5928.9371904550244</v>
      </c>
      <c r="F554" s="313">
        <v>3281.6421878716028</v>
      </c>
      <c r="G554" s="313">
        <v>8851.0720946061338</v>
      </c>
      <c r="H554" s="313">
        <v>21152.607797650177</v>
      </c>
      <c r="I554" s="313">
        <v>20723.366677320199</v>
      </c>
      <c r="J554" s="313">
        <v>15543.602798135787</v>
      </c>
      <c r="K554" s="313">
        <v>16233.585513179711</v>
      </c>
      <c r="L554" s="313">
        <v>11458.955905411292</v>
      </c>
      <c r="M554" s="313">
        <v>8661.109952488061</v>
      </c>
      <c r="N554" s="314">
        <v>23380.982782865882</v>
      </c>
      <c r="O554" s="31">
        <v>22857.965677505206</v>
      </c>
      <c r="P554" s="31">
        <v>23345.737159057167</v>
      </c>
      <c r="Q554" s="31">
        <v>23826.79658055021</v>
      </c>
      <c r="R554" s="31">
        <v>24338.649725003095</v>
      </c>
      <c r="S554" s="31">
        <v>22118.298613273062</v>
      </c>
      <c r="T554" s="31">
        <v>14946.310290798096</v>
      </c>
      <c r="U554" s="31">
        <v>13643.619357474883</v>
      </c>
      <c r="V554" s="31">
        <v>11495.989906316088</v>
      </c>
      <c r="W554" s="31">
        <v>9763.5758802726377</v>
      </c>
      <c r="X554" s="31">
        <v>10548.399206738901</v>
      </c>
    </row>
    <row r="556" spans="1:24">
      <c r="A556" s="29" t="s">
        <v>662</v>
      </c>
    </row>
    <row r="557" spans="1:24">
      <c r="A557" s="261">
        <v>36362</v>
      </c>
    </row>
    <row r="558" spans="1:24">
      <c r="A558" s="254" t="s">
        <v>379</v>
      </c>
      <c r="B558" s="255">
        <v>40429.080869159428</v>
      </c>
      <c r="C558" s="256"/>
      <c r="D558" s="256"/>
      <c r="E558" s="256"/>
      <c r="F558" s="256"/>
      <c r="G558" s="256"/>
      <c r="H558" s="256"/>
      <c r="I558" s="256"/>
      <c r="J558" s="256"/>
      <c r="K558" s="256"/>
      <c r="L558" s="256"/>
      <c r="M558" s="256"/>
      <c r="N558" s="256"/>
      <c r="O558" s="256"/>
      <c r="P558" s="256"/>
      <c r="Q558" s="256"/>
      <c r="R558" s="256"/>
      <c r="S558" s="256"/>
      <c r="T558" s="256"/>
      <c r="U558" s="256"/>
      <c r="V558" s="256"/>
    </row>
    <row r="559" spans="1:24">
      <c r="A559" s="257" t="s">
        <v>380</v>
      </c>
      <c r="B559" s="258">
        <v>77044.000763241565</v>
      </c>
      <c r="C559" s="256"/>
      <c r="D559" s="256"/>
      <c r="E559" s="256"/>
      <c r="F559" s="256"/>
      <c r="G559" s="256"/>
      <c r="H559" s="256"/>
      <c r="I559" s="256"/>
      <c r="J559" s="256"/>
      <c r="K559" s="256"/>
      <c r="L559" s="256"/>
      <c r="M559" s="256"/>
      <c r="N559" s="256"/>
      <c r="O559" s="256"/>
      <c r="P559" s="256"/>
      <c r="Q559" s="256"/>
      <c r="R559" s="256"/>
      <c r="S559" s="256"/>
      <c r="T559" s="256"/>
      <c r="U559" s="256"/>
      <c r="V559" s="256"/>
    </row>
    <row r="560" spans="1:24">
      <c r="A560" s="259" t="s">
        <v>383</v>
      </c>
      <c r="B560" s="304" t="s">
        <v>483</v>
      </c>
      <c r="C560" s="304" t="s">
        <v>484</v>
      </c>
      <c r="D560" s="306">
        <v>2000</v>
      </c>
      <c r="E560" s="307">
        <v>2001</v>
      </c>
      <c r="F560" s="307">
        <v>2002</v>
      </c>
      <c r="G560" s="307">
        <v>2003</v>
      </c>
      <c r="H560" s="307">
        <v>2004</v>
      </c>
      <c r="I560" s="307">
        <v>2005</v>
      </c>
      <c r="J560" s="307">
        <v>2006</v>
      </c>
      <c r="K560" s="307">
        <v>2007</v>
      </c>
      <c r="L560" s="307">
        <v>2008</v>
      </c>
      <c r="M560" s="307">
        <v>2009</v>
      </c>
      <c r="N560" s="308">
        <v>2010</v>
      </c>
      <c r="O560" s="256">
        <v>2011</v>
      </c>
      <c r="P560" s="256">
        <v>2012</v>
      </c>
      <c r="Q560" s="256">
        <v>2013</v>
      </c>
      <c r="R560" s="256">
        <v>2014</v>
      </c>
      <c r="S560" s="256">
        <v>2015</v>
      </c>
      <c r="T560" s="256">
        <v>2016</v>
      </c>
      <c r="U560" s="256">
        <v>2017</v>
      </c>
      <c r="V560" s="256">
        <v>2018</v>
      </c>
      <c r="W560" s="256">
        <v>2019</v>
      </c>
      <c r="X560" s="256">
        <v>2020</v>
      </c>
    </row>
    <row r="561" spans="1:24">
      <c r="A561" s="259" t="s">
        <v>381</v>
      </c>
      <c r="B561" s="305">
        <f>NPV(0.1,D561:Y561)</f>
        <v>551504.80005135387</v>
      </c>
      <c r="C561" s="305">
        <f>B561-B551</f>
        <v>0</v>
      </c>
      <c r="D561" s="309">
        <v>41716.1296</v>
      </c>
      <c r="E561" s="310">
        <v>53951.170868000001</v>
      </c>
      <c r="F561" s="310">
        <v>54028.463374039995</v>
      </c>
      <c r="G561" s="310">
        <v>61812.682582209432</v>
      </c>
      <c r="H561" s="310">
        <v>67801.647273500785</v>
      </c>
      <c r="I561" s="310">
        <v>69182.648318105828</v>
      </c>
      <c r="J561" s="310">
        <v>69125.686514872737</v>
      </c>
      <c r="K561" s="310">
        <v>69784.521403943174</v>
      </c>
      <c r="L561" s="310">
        <v>70440.26471970242</v>
      </c>
      <c r="M561" s="310">
        <v>71092.138016351702</v>
      </c>
      <c r="N561" s="311">
        <v>71739.318923760176</v>
      </c>
      <c r="O561" s="31">
        <v>72380.939212606478</v>
      </c>
      <c r="P561" s="31">
        <v>73016.082782960162</v>
      </c>
      <c r="Q561" s="31">
        <v>73643.783573451714</v>
      </c>
      <c r="R561" s="31">
        <v>74263.023388076079</v>
      </c>
      <c r="S561" s="31">
        <v>74872.729637569821</v>
      </c>
      <c r="T561" s="31">
        <v>75471.772992191924</v>
      </c>
      <c r="U561" s="31">
        <v>76058.96494262552</v>
      </c>
      <c r="V561" s="31">
        <v>76633.055265600182</v>
      </c>
      <c r="W561" s="31">
        <v>76106.460231457706</v>
      </c>
      <c r="X561" s="31">
        <v>32886.292446652114</v>
      </c>
    </row>
    <row r="562" spans="1:24">
      <c r="A562" s="260" t="s">
        <v>382</v>
      </c>
      <c r="B562" s="305">
        <f>NPV(0.1,D562:Y562)</f>
        <v>244777.33980520768</v>
      </c>
      <c r="C562" s="305">
        <f>B562-B552</f>
        <v>-1.5527396034449339</v>
      </c>
      <c r="D562" s="309">
        <v>26182.344771221455</v>
      </c>
      <c r="E562" s="310">
        <v>27613.632600144985</v>
      </c>
      <c r="F562" s="310">
        <v>27764.247532068039</v>
      </c>
      <c r="G562" s="310">
        <v>28055.703943462628</v>
      </c>
      <c r="H562" s="310">
        <v>28143.319224340117</v>
      </c>
      <c r="I562" s="310">
        <v>28280.913393623803</v>
      </c>
      <c r="J562" s="310">
        <v>28465.910438928171</v>
      </c>
      <c r="K562" s="310">
        <v>28656.457395591664</v>
      </c>
      <c r="L562" s="310">
        <v>28852.720760955068</v>
      </c>
      <c r="M562" s="310">
        <v>29012.857414714152</v>
      </c>
      <c r="N562" s="311">
        <v>29221.073219028181</v>
      </c>
      <c r="O562" s="31">
        <v>29435.535497471636</v>
      </c>
      <c r="P562" s="31">
        <v>29656.431644268392</v>
      </c>
      <c r="Q562" s="31">
        <v>29841.940062903839</v>
      </c>
      <c r="R562" s="31">
        <v>30076.288785040513</v>
      </c>
      <c r="S562" s="31">
        <v>30317.667968841299</v>
      </c>
      <c r="T562" s="31">
        <v>30566.288528156099</v>
      </c>
      <c r="U562" s="31">
        <v>30780.353091685123</v>
      </c>
      <c r="V562" s="31">
        <v>31044.114643062203</v>
      </c>
      <c r="W562" s="31">
        <v>31315.789040980591</v>
      </c>
      <c r="X562" s="31">
        <v>15638.63019746518</v>
      </c>
    </row>
    <row r="563" spans="1:24">
      <c r="A563" s="260" t="s">
        <v>35</v>
      </c>
      <c r="B563" s="305">
        <f>NPV(0.1,D563:Y563)</f>
        <v>100908.79159751971</v>
      </c>
      <c r="C563" s="305">
        <f>B563-B553</f>
        <v>292.5839314917539</v>
      </c>
      <c r="D563" s="309">
        <v>-1596.7743193163783</v>
      </c>
      <c r="E563" s="310">
        <v>3500.6912884832282</v>
      </c>
      <c r="F563" s="310">
        <v>3756.0970278993514</v>
      </c>
      <c r="G563" s="310">
        <v>8757.6604385294995</v>
      </c>
      <c r="H563" s="310">
        <v>12911.325464147058</v>
      </c>
      <c r="I563" s="310">
        <v>14089.182247768105</v>
      </c>
      <c r="J563" s="310">
        <v>14339.02586844422</v>
      </c>
      <c r="K563" s="310">
        <v>15019.89269522402</v>
      </c>
      <c r="L563" s="310">
        <v>15695.378975719726</v>
      </c>
      <c r="M563" s="310">
        <v>16639.071747097591</v>
      </c>
      <c r="N563" s="311">
        <v>17723.545853174321</v>
      </c>
      <c r="O563" s="31">
        <v>18179.55285954952</v>
      </c>
      <c r="P563" s="31">
        <v>18676.440229365602</v>
      </c>
      <c r="Q563" s="31">
        <v>19190.398375159741</v>
      </c>
      <c r="R563" s="31">
        <v>19669.352795311526</v>
      </c>
      <c r="S563" s="31">
        <v>20138.18872149866</v>
      </c>
      <c r="T563" s="31">
        <v>20596.087436940878</v>
      </c>
      <c r="U563" s="31">
        <v>21311.691116182876</v>
      </c>
      <c r="V563" s="31">
        <v>22086.467052458866</v>
      </c>
      <c r="W563" s="31">
        <v>22330.333026415417</v>
      </c>
      <c r="X563" s="31">
        <v>6360.5263528816786</v>
      </c>
    </row>
    <row r="564" spans="1:24">
      <c r="A564" s="260" t="s">
        <v>32</v>
      </c>
      <c r="B564" s="305">
        <f>NPV(0.1,D564:Y564)</f>
        <v>105825.32931217462</v>
      </c>
      <c r="C564" s="305">
        <f>B564-B554</f>
        <v>-163.05121196398977</v>
      </c>
      <c r="D564" s="312">
        <v>-5857.3779608617224</v>
      </c>
      <c r="E564" s="313">
        <v>5929.1098925800288</v>
      </c>
      <c r="F564" s="313">
        <v>3281.8148899966036</v>
      </c>
      <c r="G564" s="313">
        <v>8851.2447967311382</v>
      </c>
      <c r="H564" s="313">
        <v>21152.780499775181</v>
      </c>
      <c r="I564" s="313">
        <v>20454.121079382927</v>
      </c>
      <c r="J564" s="313">
        <v>15540.063509554931</v>
      </c>
      <c r="K564" s="313">
        <v>16230.04004920063</v>
      </c>
      <c r="L564" s="313">
        <v>11455.416616830438</v>
      </c>
      <c r="M564" s="313">
        <v>8657.5644885089805</v>
      </c>
      <c r="N564" s="314">
        <v>23377.443494285031</v>
      </c>
      <c r="O564" s="31">
        <v>22854.420213526129</v>
      </c>
      <c r="P564" s="31">
        <v>23342.197870476313</v>
      </c>
      <c r="Q564" s="31">
        <v>23823.251116571129</v>
      </c>
      <c r="R564" s="31">
        <v>24335.110436422241</v>
      </c>
      <c r="S564" s="31">
        <v>22116.581067169169</v>
      </c>
      <c r="T564" s="31">
        <v>14946.414487171172</v>
      </c>
      <c r="U564" s="31">
        <v>13643.723553847958</v>
      </c>
      <c r="V564" s="31">
        <v>11496.094102689167</v>
      </c>
      <c r="W564" s="31">
        <v>9763.6800766457163</v>
      </c>
      <c r="X564" s="31">
        <v>10548.503403111979</v>
      </c>
    </row>
    <row r="566" spans="1:24">
      <c r="A566" s="29" t="s">
        <v>665</v>
      </c>
    </row>
    <row r="567" spans="1:24">
      <c r="A567" s="261">
        <v>24314</v>
      </c>
    </row>
    <row r="568" spans="1:24">
      <c r="A568" s="254" t="s">
        <v>379</v>
      </c>
      <c r="B568" s="255">
        <v>54527.278428190497</v>
      </c>
      <c r="C568" s="256"/>
      <c r="D568" s="256"/>
      <c r="E568" s="256"/>
      <c r="F568" s="256"/>
      <c r="G568" s="256"/>
      <c r="H568" s="256"/>
      <c r="I568" s="256"/>
      <c r="J568" s="256"/>
      <c r="K568" s="256"/>
      <c r="L568" s="256"/>
      <c r="M568" s="256"/>
      <c r="N568" s="256"/>
      <c r="O568" s="256"/>
      <c r="P568" s="256"/>
      <c r="Q568" s="256"/>
      <c r="R568" s="256"/>
      <c r="S568" s="256"/>
      <c r="T568" s="256"/>
      <c r="U568" s="256"/>
      <c r="V568" s="256"/>
    </row>
    <row r="569" spans="1:24">
      <c r="A569" s="257" t="s">
        <v>380</v>
      </c>
      <c r="B569" s="258">
        <v>100015.44428239533</v>
      </c>
      <c r="C569" s="256"/>
      <c r="D569" s="256"/>
      <c r="E569" s="256"/>
      <c r="F569" s="256"/>
      <c r="G569" s="256"/>
      <c r="H569" s="256"/>
      <c r="I569" s="256"/>
      <c r="J569" s="256"/>
      <c r="K569" s="256"/>
      <c r="L569" s="256"/>
      <c r="M569" s="256"/>
      <c r="N569" s="256"/>
      <c r="O569" s="256"/>
      <c r="P569" s="256"/>
      <c r="Q569" s="256"/>
      <c r="R569" s="256"/>
      <c r="S569" s="256"/>
      <c r="T569" s="256"/>
      <c r="U569" s="256"/>
      <c r="V569" s="256"/>
    </row>
    <row r="570" spans="1:24">
      <c r="A570" s="259" t="s">
        <v>383</v>
      </c>
      <c r="B570" s="304" t="s">
        <v>483</v>
      </c>
      <c r="C570" s="304" t="s">
        <v>484</v>
      </c>
      <c r="D570" s="306">
        <v>2000</v>
      </c>
      <c r="E570" s="307">
        <v>2001</v>
      </c>
      <c r="F570" s="307">
        <v>2002</v>
      </c>
      <c r="G570" s="307">
        <v>2003</v>
      </c>
      <c r="H570" s="307">
        <v>2004</v>
      </c>
      <c r="I570" s="307">
        <v>2005</v>
      </c>
      <c r="J570" s="307">
        <v>2006</v>
      </c>
      <c r="K570" s="307">
        <v>2007</v>
      </c>
      <c r="L570" s="307">
        <v>2008</v>
      </c>
      <c r="M570" s="307">
        <v>2009</v>
      </c>
      <c r="N570" s="308">
        <v>2010</v>
      </c>
      <c r="O570" s="256">
        <v>2011</v>
      </c>
      <c r="P570" s="256">
        <v>2012</v>
      </c>
      <c r="Q570" s="256">
        <v>2013</v>
      </c>
      <c r="R570" s="256">
        <v>2014</v>
      </c>
      <c r="S570" s="256">
        <v>2015</v>
      </c>
      <c r="T570" s="256">
        <v>2016</v>
      </c>
      <c r="U570" s="256">
        <v>2017</v>
      </c>
      <c r="V570" s="256">
        <v>2018</v>
      </c>
      <c r="W570" s="256">
        <v>2019</v>
      </c>
      <c r="X570" s="256">
        <v>2020</v>
      </c>
    </row>
    <row r="571" spans="1:24">
      <c r="A571" s="259" t="s">
        <v>381</v>
      </c>
      <c r="B571" s="305">
        <f>NPV(0.1,D571:Y571)</f>
        <v>587133.4111321813</v>
      </c>
      <c r="C571" s="305">
        <f>B571-B561</f>
        <v>35628.611080827424</v>
      </c>
      <c r="D571" s="309">
        <v>41364.1276</v>
      </c>
      <c r="E571" s="310">
        <v>53599.168868000001</v>
      </c>
      <c r="F571" s="310">
        <v>53676.461374039995</v>
      </c>
      <c r="G571" s="310">
        <v>65143.101439719816</v>
      </c>
      <c r="H571" s="310">
        <v>73806.689285054352</v>
      </c>
      <c r="I571" s="310">
        <v>75317.217318825977</v>
      </c>
      <c r="J571" s="310">
        <v>75252.785341236653</v>
      </c>
      <c r="K571" s="310">
        <v>75972.254192721084</v>
      </c>
      <c r="L571" s="310">
        <v>76688.273847830875</v>
      </c>
      <c r="M571" s="310">
        <v>77399.989832817198</v>
      </c>
      <c r="N571" s="311">
        <v>78106.499509783054</v>
      </c>
      <c r="O571" s="31">
        <v>78806.849955860729</v>
      </c>
      <c r="P571" s="31">
        <v>79500.035758487647</v>
      </c>
      <c r="Q571" s="31">
        <v>80184.996723655335</v>
      </c>
      <c r="R571" s="31">
        <v>80860.615493893827</v>
      </c>
      <c r="S571" s="31">
        <v>81525.715072638748</v>
      </c>
      <c r="T571" s="31">
        <v>82179.056251507223</v>
      </c>
      <c r="U571" s="31">
        <v>82819.334936885876</v>
      </c>
      <c r="V571" s="31">
        <v>83445.179372104292</v>
      </c>
      <c r="W571" s="31">
        <v>82865.432394184551</v>
      </c>
      <c r="X571" s="31">
        <v>35526.302372602433</v>
      </c>
    </row>
    <row r="572" spans="1:24">
      <c r="A572" s="260" t="s">
        <v>382</v>
      </c>
      <c r="B572" s="305">
        <f>NPV(0.1,D572:Y572)</f>
        <v>254359.34072118971</v>
      </c>
      <c r="C572" s="305">
        <f>B572-B562</f>
        <v>9582.0009159820329</v>
      </c>
      <c r="D572" s="309">
        <v>25830.342771221454</v>
      </c>
      <c r="E572" s="310">
        <v>27261.630600144985</v>
      </c>
      <c r="F572" s="310">
        <v>27412.245532068038</v>
      </c>
      <c r="G572" s="310">
        <v>28969.205303412964</v>
      </c>
      <c r="H572" s="310">
        <v>29946.629751800523</v>
      </c>
      <c r="I572" s="310">
        <v>30087.739819968021</v>
      </c>
      <c r="J572" s="310">
        <v>30276.358241122711</v>
      </c>
      <c r="K572" s="310">
        <v>30470.635214912043</v>
      </c>
      <c r="L572" s="310">
        <v>30670.74049791506</v>
      </c>
      <c r="M572" s="310">
        <v>30834.834326842942</v>
      </c>
      <c r="N572" s="311">
        <v>31047.126021580836</v>
      </c>
      <c r="O572" s="31">
        <v>31265.78646716087</v>
      </c>
      <c r="P572" s="31">
        <v>31491.006726108302</v>
      </c>
      <c r="Q572" s="31">
        <v>31680.968980258946</v>
      </c>
      <c r="R572" s="31">
        <v>31919.905152976276</v>
      </c>
      <c r="S572" s="31">
        <v>32166.009410875129</v>
      </c>
      <c r="T572" s="31">
        <v>32419.496796510946</v>
      </c>
      <c r="U572" s="31">
        <v>32638.574191150619</v>
      </c>
      <c r="V572" s="31">
        <v>32907.498958571668</v>
      </c>
      <c r="W572" s="31">
        <v>33184.491469015338</v>
      </c>
      <c r="X572" s="31">
        <v>16224.6428252239</v>
      </c>
    </row>
    <row r="573" spans="1:24">
      <c r="A573" s="260" t="s">
        <v>35</v>
      </c>
      <c r="B573" s="305">
        <f>NPV(0.1,D573:Y573)</f>
        <v>116819.9266746605</v>
      </c>
      <c r="C573" s="305">
        <f>B573-B563</f>
        <v>15911.135077140789</v>
      </c>
      <c r="D573" s="309">
        <v>-1596.7743193163783</v>
      </c>
      <c r="E573" s="310">
        <v>3500.6912884832282</v>
      </c>
      <c r="F573" s="310">
        <v>3756.0970278993514</v>
      </c>
      <c r="G573" s="310">
        <v>10234.086757754938</v>
      </c>
      <c r="H573" s="310">
        <v>15478.044003648709</v>
      </c>
      <c r="I573" s="310">
        <v>16732.877386758817</v>
      </c>
      <c r="J573" s="310">
        <v>16975.945494136482</v>
      </c>
      <c r="K573" s="310">
        <v>17691.573326443366</v>
      </c>
      <c r="L573" s="310">
        <v>18401.533793835566</v>
      </c>
      <c r="M573" s="310">
        <v>19379.365439456466</v>
      </c>
      <c r="N573" s="311">
        <v>20497.591961595426</v>
      </c>
      <c r="O573" s="31">
        <v>20986.911013374312</v>
      </c>
      <c r="P573" s="31">
        <v>21516.613258521611</v>
      </c>
      <c r="Q573" s="31">
        <v>22062.829298529297</v>
      </c>
      <c r="R573" s="31">
        <v>22573.421679522064</v>
      </c>
      <c r="S573" s="31">
        <v>23073.209405070502</v>
      </c>
      <c r="T573" s="31">
        <v>23561.304114540748</v>
      </c>
      <c r="U573" s="31">
        <v>24306.274777538169</v>
      </c>
      <c r="V573" s="31">
        <v>25109.511770285924</v>
      </c>
      <c r="W573" s="31">
        <v>25317.660045935099</v>
      </c>
      <c r="X573" s="31">
        <v>7615.2550201735903</v>
      </c>
    </row>
    <row r="574" spans="1:24">
      <c r="A574" s="260" t="s">
        <v>32</v>
      </c>
      <c r="B574" s="305">
        <f>NPV(0.1,D574:Y574)</f>
        <v>121946.7879484227</v>
      </c>
      <c r="C574" s="305">
        <f>B574-B564</f>
        <v>16121.458636248077</v>
      </c>
      <c r="D574" s="312">
        <v>-5857.3779608617224</v>
      </c>
      <c r="E574" s="313">
        <v>5929.1098925800288</v>
      </c>
      <c r="F574" s="313">
        <v>3281.8148899966036</v>
      </c>
      <c r="G574" s="313">
        <v>11298.373763010692</v>
      </c>
      <c r="H574" s="313">
        <v>25407.0336274195</v>
      </c>
      <c r="I574" s="313">
        <v>20439.578983176852</v>
      </c>
      <c r="J574" s="313">
        <v>18176.983135247192</v>
      </c>
      <c r="K574" s="313">
        <v>18901.720680419978</v>
      </c>
      <c r="L574" s="313">
        <v>14161.571434946276</v>
      </c>
      <c r="M574" s="313">
        <v>11397.858180867857</v>
      </c>
      <c r="N574" s="314">
        <v>26151.489602706137</v>
      </c>
      <c r="O574" s="31">
        <v>25661.778367350918</v>
      </c>
      <c r="P574" s="31">
        <v>26182.370899632322</v>
      </c>
      <c r="Q574" s="31">
        <v>26695.682039940693</v>
      </c>
      <c r="R574" s="31">
        <v>27239.179320632778</v>
      </c>
      <c r="S574" s="31">
        <v>25051.601750741003</v>
      </c>
      <c r="T574" s="31">
        <v>17911.631164771046</v>
      </c>
      <c r="U574" s="31">
        <v>16638.307215203251</v>
      </c>
      <c r="V574" s="31">
        <v>14519.138820516226</v>
      </c>
      <c r="W574" s="31">
        <v>12751.007096165402</v>
      </c>
      <c r="X574" s="31">
        <v>11803.23207040389</v>
      </c>
    </row>
    <row r="576" spans="1:24">
      <c r="A576" s="29" t="s">
        <v>671</v>
      </c>
    </row>
    <row r="577" spans="1:24">
      <c r="A577" s="261">
        <v>36374</v>
      </c>
    </row>
    <row r="578" spans="1:24">
      <c r="A578" s="254" t="s">
        <v>379</v>
      </c>
      <c r="B578" s="255">
        <v>45126.411768977538</v>
      </c>
      <c r="C578" s="256"/>
      <c r="D578" s="256"/>
      <c r="E578" s="256"/>
      <c r="F578" s="256"/>
      <c r="G578" s="256"/>
      <c r="H578" s="256"/>
      <c r="I578" s="256"/>
      <c r="J578" s="256"/>
      <c r="K578" s="256"/>
      <c r="L578" s="256"/>
      <c r="M578" s="256"/>
      <c r="N578" s="256"/>
      <c r="O578" s="256"/>
      <c r="P578" s="256"/>
      <c r="Q578" s="256"/>
      <c r="R578" s="256"/>
      <c r="S578" s="256"/>
      <c r="T578" s="256"/>
      <c r="U578" s="256"/>
      <c r="V578" s="256"/>
    </row>
    <row r="579" spans="1:24">
      <c r="A579" s="257" t="s">
        <v>380</v>
      </c>
      <c r="B579" s="258">
        <v>88810.585763239607</v>
      </c>
      <c r="C579" s="256"/>
      <c r="D579" s="256"/>
      <c r="E579" s="256"/>
      <c r="F579" s="256"/>
      <c r="G579" s="256"/>
      <c r="H579" s="256"/>
      <c r="I579" s="256"/>
      <c r="J579" s="256"/>
      <c r="K579" s="256"/>
      <c r="L579" s="256"/>
      <c r="M579" s="256"/>
      <c r="N579" s="256"/>
      <c r="O579" s="256"/>
      <c r="P579" s="256"/>
      <c r="Q579" s="256"/>
      <c r="R579" s="256"/>
      <c r="S579" s="256"/>
      <c r="T579" s="256"/>
      <c r="U579" s="256"/>
      <c r="V579" s="256"/>
    </row>
    <row r="580" spans="1:24">
      <c r="A580" s="259" t="s">
        <v>383</v>
      </c>
      <c r="B580" s="304" t="s">
        <v>483</v>
      </c>
      <c r="C580" s="304" t="s">
        <v>484</v>
      </c>
      <c r="D580" s="306">
        <v>2000</v>
      </c>
      <c r="E580" s="307">
        <v>2001</v>
      </c>
      <c r="F580" s="307">
        <v>2002</v>
      </c>
      <c r="G580" s="307">
        <v>2003</v>
      </c>
      <c r="H580" s="307">
        <v>2004</v>
      </c>
      <c r="I580" s="307">
        <v>2005</v>
      </c>
      <c r="J580" s="307">
        <v>2006</v>
      </c>
      <c r="K580" s="307">
        <v>2007</v>
      </c>
      <c r="L580" s="307">
        <v>2008</v>
      </c>
      <c r="M580" s="307">
        <v>2009</v>
      </c>
      <c r="N580" s="308">
        <v>2010</v>
      </c>
      <c r="O580" s="256">
        <v>2011</v>
      </c>
      <c r="P580" s="256">
        <v>2012</v>
      </c>
      <c r="Q580" s="256">
        <v>2013</v>
      </c>
      <c r="R580" s="256">
        <v>2014</v>
      </c>
      <c r="S580" s="256">
        <v>2015</v>
      </c>
      <c r="T580" s="256">
        <v>2016</v>
      </c>
      <c r="U580" s="256">
        <v>2017</v>
      </c>
      <c r="V580" s="256">
        <v>2018</v>
      </c>
      <c r="W580" s="256">
        <v>2019</v>
      </c>
      <c r="X580" s="256">
        <v>2020</v>
      </c>
    </row>
    <row r="581" spans="1:24">
      <c r="A581" s="259" t="s">
        <v>381</v>
      </c>
      <c r="B581" s="305">
        <f>NPV(0.1,D581:Y581)</f>
        <v>587133.4111321813</v>
      </c>
      <c r="C581" s="305">
        <f>B581-B571</f>
        <v>0</v>
      </c>
      <c r="D581" s="309">
        <v>41364.1276</v>
      </c>
      <c r="E581" s="310">
        <v>53599.168868000001</v>
      </c>
      <c r="F581" s="310">
        <v>53676.461374039995</v>
      </c>
      <c r="G581" s="310">
        <v>65143.101439719816</v>
      </c>
      <c r="H581" s="310">
        <v>73806.689285054352</v>
      </c>
      <c r="I581" s="310">
        <v>75317.217318825977</v>
      </c>
      <c r="J581" s="310">
        <v>75252.785341236653</v>
      </c>
      <c r="K581" s="310">
        <v>75972.254192721084</v>
      </c>
      <c r="L581" s="310">
        <v>76688.273847830875</v>
      </c>
      <c r="M581" s="310">
        <v>77399.989832817198</v>
      </c>
      <c r="N581" s="311">
        <v>78106.499509783054</v>
      </c>
      <c r="O581" s="31">
        <v>78806.849955860729</v>
      </c>
      <c r="P581" s="31">
        <v>79500.035758487647</v>
      </c>
      <c r="Q581" s="31">
        <v>80184.996723655335</v>
      </c>
      <c r="R581" s="31">
        <v>80860.615493893827</v>
      </c>
      <c r="S581" s="31">
        <v>81525.715072638748</v>
      </c>
      <c r="T581" s="31">
        <v>82179.056251507223</v>
      </c>
      <c r="U581" s="31">
        <v>82819.334936885876</v>
      </c>
      <c r="V581" s="31">
        <v>83445.179372104292</v>
      </c>
      <c r="W581" s="31">
        <v>82865.432394184551</v>
      </c>
      <c r="X581" s="31">
        <v>35526.302372602433</v>
      </c>
    </row>
    <row r="582" spans="1:24">
      <c r="A582" s="260" t="s">
        <v>382</v>
      </c>
      <c r="B582" s="305">
        <f>NPV(0.1,D582:Y582)</f>
        <v>254409.97229045382</v>
      </c>
      <c r="C582" s="305">
        <f>B582-B572</f>
        <v>50.631569264107384</v>
      </c>
      <c r="D582" s="309">
        <v>25847.070820721456</v>
      </c>
      <c r="E582" s="310">
        <v>27265.012510425724</v>
      </c>
      <c r="F582" s="310">
        <v>27415.627442348778</v>
      </c>
      <c r="G582" s="310">
        <v>28972.587213693703</v>
      </c>
      <c r="H582" s="310">
        <v>29950.011662081262</v>
      </c>
      <c r="I582" s="310">
        <v>30092.054144975071</v>
      </c>
      <c r="J582" s="310">
        <v>30280.672566129761</v>
      </c>
      <c r="K582" s="310">
        <v>30474.949539919093</v>
      </c>
      <c r="L582" s="310">
        <v>30675.054822922109</v>
      </c>
      <c r="M582" s="310">
        <v>30840.081066576306</v>
      </c>
      <c r="N582" s="311">
        <v>31052.3727613142</v>
      </c>
      <c r="O582" s="31">
        <v>31271.033206894233</v>
      </c>
      <c r="P582" s="31">
        <v>31496.253465841666</v>
      </c>
      <c r="Q582" s="31">
        <v>31687.148134718616</v>
      </c>
      <c r="R582" s="31">
        <v>31926.084307435947</v>
      </c>
      <c r="S582" s="31">
        <v>32172.1885653348</v>
      </c>
      <c r="T582" s="31">
        <v>32425.675950970617</v>
      </c>
      <c r="U582" s="31">
        <v>32645.685760336604</v>
      </c>
      <c r="V582" s="31">
        <v>32914.61052775765</v>
      </c>
      <c r="W582" s="31">
        <v>33191.60303820132</v>
      </c>
      <c r="X582" s="31">
        <v>16231.754394409883</v>
      </c>
    </row>
    <row r="583" spans="1:24">
      <c r="A583" s="260" t="s">
        <v>35</v>
      </c>
      <c r="B583" s="305">
        <f>NPV(0.1,D583:Y583)</f>
        <v>115126.28332255216</v>
      </c>
      <c r="C583" s="305">
        <f>B583-B573</f>
        <v>-1693.6433521083381</v>
      </c>
      <c r="D583" s="309">
        <v>-1723.7384259527744</v>
      </c>
      <c r="E583" s="310">
        <v>3298.4903768454287</v>
      </c>
      <c r="F583" s="310">
        <v>3553.8961162615519</v>
      </c>
      <c r="G583" s="310">
        <v>10031.885846117138</v>
      </c>
      <c r="H583" s="310">
        <v>15275.843092010909</v>
      </c>
      <c r="I583" s="310">
        <v>16529.145804842978</v>
      </c>
      <c r="J583" s="310">
        <v>16771.527423235646</v>
      </c>
      <c r="K583" s="310">
        <v>17487.155255542537</v>
      </c>
      <c r="L583" s="310">
        <v>18197.11572293473</v>
      </c>
      <c r="M583" s="310">
        <v>19174.377782856598</v>
      </c>
      <c r="N583" s="311">
        <v>20292.604304995559</v>
      </c>
      <c r="O583" s="31">
        <v>20781.923356774441</v>
      </c>
      <c r="P583" s="31">
        <v>21311.625601921733</v>
      </c>
      <c r="Q583" s="31">
        <v>21857.272056230388</v>
      </c>
      <c r="R583" s="31">
        <v>22367.864437223168</v>
      </c>
      <c r="S583" s="31">
        <v>22867.652162771603</v>
      </c>
      <c r="T583" s="31">
        <v>23355.746872241849</v>
      </c>
      <c r="U583" s="31">
        <v>24100.147949540227</v>
      </c>
      <c r="V583" s="31">
        <v>24903.384942287983</v>
      </c>
      <c r="W583" s="31">
        <v>25111.533217937158</v>
      </c>
      <c r="X583" s="31">
        <v>7409.1281921756481</v>
      </c>
    </row>
    <row r="584" spans="1:24">
      <c r="A584" s="260" t="s">
        <v>32</v>
      </c>
      <c r="B584" s="305">
        <f>NPV(0.1,D584:Y584)</f>
        <v>123877.79327991116</v>
      </c>
      <c r="C584" s="305">
        <f>B584-B574</f>
        <v>1931.0053314884572</v>
      </c>
      <c r="D584" s="312">
        <v>-5874.3151109804749</v>
      </c>
      <c r="E584" s="313">
        <v>5917.9155857015139</v>
      </c>
      <c r="F584" s="313">
        <v>3278.3907058373552</v>
      </c>
      <c r="G584" s="313">
        <v>11294.94957885144</v>
      </c>
      <c r="H584" s="313">
        <v>25403.609443260255</v>
      </c>
      <c r="I584" s="313">
        <v>22386.392419815915</v>
      </c>
      <c r="J584" s="313">
        <v>18435.256507912454</v>
      </c>
      <c r="K584" s="313">
        <v>19160.436271511335</v>
      </c>
      <c r="L584" s="313">
        <v>14419.84480761154</v>
      </c>
      <c r="M584" s="313">
        <v>11656.93660098649</v>
      </c>
      <c r="N584" s="314">
        <v>26409.193389672371</v>
      </c>
      <c r="O584" s="31">
        <v>25919.924372743244</v>
      </c>
      <c r="P584" s="31">
        <v>26440.074686598549</v>
      </c>
      <c r="Q584" s="31">
        <v>26954.190874360273</v>
      </c>
      <c r="R584" s="31">
        <v>27496.313521899974</v>
      </c>
      <c r="S584" s="31">
        <v>25178.281516311654</v>
      </c>
      <c r="T584" s="31">
        <v>17907.856494645148</v>
      </c>
      <c r="U584" s="31">
        <v>16634.895374104617</v>
      </c>
      <c r="V584" s="31">
        <v>14514.794564691285</v>
      </c>
      <c r="W584" s="31">
        <v>12746.662840340454</v>
      </c>
      <c r="X584" s="31">
        <v>11798.887814578948</v>
      </c>
    </row>
    <row r="586" spans="1:24">
      <c r="A586" s="29" t="s">
        <v>672</v>
      </c>
    </row>
    <row r="587" spans="1:24">
      <c r="A587" s="261">
        <v>36385</v>
      </c>
    </row>
    <row r="588" spans="1:24">
      <c r="A588" s="254" t="s">
        <v>379</v>
      </c>
      <c r="B588" s="255">
        <v>45072.285165462548</v>
      </c>
      <c r="C588" s="256"/>
      <c r="D588" s="256"/>
      <c r="E588" s="256"/>
      <c r="F588" s="256"/>
      <c r="G588" s="256"/>
      <c r="H588" s="256"/>
      <c r="I588" s="256"/>
      <c r="J588" s="256"/>
      <c r="K588" s="256"/>
      <c r="L588" s="256"/>
      <c r="M588" s="256"/>
      <c r="N588" s="256"/>
      <c r="O588" s="256"/>
      <c r="P588" s="256"/>
      <c r="Q588" s="256"/>
      <c r="R588" s="256"/>
      <c r="S588" s="256"/>
      <c r="T588" s="256"/>
      <c r="U588" s="256"/>
      <c r="V588" s="256"/>
    </row>
    <row r="589" spans="1:24">
      <c r="A589" s="257" t="s">
        <v>380</v>
      </c>
      <c r="B589" s="258">
        <v>88744.319763239604</v>
      </c>
      <c r="C589" s="256"/>
      <c r="D589" s="256"/>
      <c r="E589" s="256"/>
      <c r="F589" s="256"/>
      <c r="G589" s="256"/>
      <c r="H589" s="256"/>
      <c r="I589" s="256"/>
      <c r="J589" s="256"/>
      <c r="K589" s="256"/>
      <c r="L589" s="256"/>
      <c r="M589" s="256"/>
      <c r="N589" s="256"/>
      <c r="O589" s="256"/>
      <c r="P589" s="256"/>
      <c r="Q589" s="256"/>
      <c r="R589" s="256"/>
      <c r="S589" s="256"/>
      <c r="T589" s="256"/>
      <c r="U589" s="256"/>
      <c r="V589" s="256"/>
    </row>
    <row r="590" spans="1:24">
      <c r="A590" s="259" t="s">
        <v>383</v>
      </c>
      <c r="B590" s="304" t="s">
        <v>483</v>
      </c>
      <c r="C590" s="304" t="s">
        <v>484</v>
      </c>
      <c r="D590" s="306">
        <v>2000</v>
      </c>
      <c r="E590" s="307">
        <v>2001</v>
      </c>
      <c r="F590" s="307">
        <v>2002</v>
      </c>
      <c r="G590" s="307">
        <v>2003</v>
      </c>
      <c r="H590" s="307">
        <v>2004</v>
      </c>
      <c r="I590" s="307">
        <v>2005</v>
      </c>
      <c r="J590" s="307">
        <v>2006</v>
      </c>
      <c r="K590" s="307">
        <v>2007</v>
      </c>
      <c r="L590" s="307">
        <v>2008</v>
      </c>
      <c r="M590" s="307">
        <v>2009</v>
      </c>
      <c r="N590" s="308">
        <v>2010</v>
      </c>
      <c r="O590" s="256">
        <v>2011</v>
      </c>
      <c r="P590" s="256">
        <v>2012</v>
      </c>
      <c r="Q590" s="256">
        <v>2013</v>
      </c>
      <c r="R590" s="256">
        <v>2014</v>
      </c>
      <c r="S590" s="256">
        <v>2015</v>
      </c>
      <c r="T590" s="256">
        <v>2016</v>
      </c>
      <c r="U590" s="256">
        <v>2017</v>
      </c>
      <c r="V590" s="256">
        <v>2018</v>
      </c>
      <c r="W590" s="256">
        <v>2019</v>
      </c>
      <c r="X590" s="256">
        <v>2020</v>
      </c>
    </row>
    <row r="591" spans="1:24">
      <c r="A591" s="259" t="s">
        <v>381</v>
      </c>
      <c r="B591" s="305">
        <f>NPV(0.1,D591:Y591)</f>
        <v>587133.4111321813</v>
      </c>
      <c r="C591" s="305">
        <f>B591-B581</f>
        <v>0</v>
      </c>
      <c r="D591" s="309">
        <v>41364.1276</v>
      </c>
      <c r="E591" s="310">
        <v>53599.168868000001</v>
      </c>
      <c r="F591" s="310">
        <v>53676.461374039995</v>
      </c>
      <c r="G591" s="310">
        <v>65143.101439719816</v>
      </c>
      <c r="H591" s="310">
        <v>73806.689285054352</v>
      </c>
      <c r="I591" s="310">
        <v>75317.217318825977</v>
      </c>
      <c r="J591" s="310">
        <v>75252.785341236653</v>
      </c>
      <c r="K591" s="310">
        <v>75972.254192721084</v>
      </c>
      <c r="L591" s="310">
        <v>76688.273847830875</v>
      </c>
      <c r="M591" s="310">
        <v>77399.989832817198</v>
      </c>
      <c r="N591" s="311">
        <v>78106.499509783054</v>
      </c>
      <c r="O591" s="31">
        <v>78806.849955860729</v>
      </c>
      <c r="P591" s="31">
        <v>79500.035758487647</v>
      </c>
      <c r="Q591" s="31">
        <v>80184.996723655335</v>
      </c>
      <c r="R591" s="31">
        <v>80860.615493893827</v>
      </c>
      <c r="S591" s="31">
        <v>81525.715072638748</v>
      </c>
      <c r="T591" s="31">
        <v>82179.056251507223</v>
      </c>
      <c r="U591" s="31">
        <v>82819.334936885876</v>
      </c>
      <c r="V591" s="31">
        <v>83445.179372104292</v>
      </c>
      <c r="W591" s="31">
        <v>82865.432394184551</v>
      </c>
      <c r="X591" s="31">
        <v>35526.302372602433</v>
      </c>
    </row>
    <row r="592" spans="1:24">
      <c r="A592" s="260" t="s">
        <v>382</v>
      </c>
      <c r="B592" s="305">
        <f>NPV(0.1,D592:Y592)</f>
        <v>254409.97229045382</v>
      </c>
      <c r="C592" s="305">
        <f>B592-B582</f>
        <v>0</v>
      </c>
      <c r="D592" s="309">
        <v>25847.070820721456</v>
      </c>
      <c r="E592" s="310">
        <v>27265.012510425724</v>
      </c>
      <c r="F592" s="310">
        <v>27415.627442348778</v>
      </c>
      <c r="G592" s="310">
        <v>28972.587213693703</v>
      </c>
      <c r="H592" s="310">
        <v>29950.011662081262</v>
      </c>
      <c r="I592" s="310">
        <v>30092.054144975071</v>
      </c>
      <c r="J592" s="310">
        <v>30280.672566129761</v>
      </c>
      <c r="K592" s="310">
        <v>30474.949539919093</v>
      </c>
      <c r="L592" s="310">
        <v>30675.054822922109</v>
      </c>
      <c r="M592" s="310">
        <v>30840.081066576306</v>
      </c>
      <c r="N592" s="311">
        <v>31052.3727613142</v>
      </c>
      <c r="O592" s="31">
        <v>31271.033206894233</v>
      </c>
      <c r="P592" s="31">
        <v>31496.253465841666</v>
      </c>
      <c r="Q592" s="31">
        <v>31687.148134718616</v>
      </c>
      <c r="R592" s="31">
        <v>31926.084307435947</v>
      </c>
      <c r="S592" s="31">
        <v>32172.1885653348</v>
      </c>
      <c r="T592" s="31">
        <v>32425.675950970617</v>
      </c>
      <c r="U592" s="31">
        <v>32645.685760336604</v>
      </c>
      <c r="V592" s="31">
        <v>32914.61052775765</v>
      </c>
      <c r="W592" s="31">
        <v>33191.60303820132</v>
      </c>
      <c r="X592" s="31">
        <v>16231.754394409883</v>
      </c>
    </row>
    <row r="593" spans="1:24">
      <c r="A593" s="260" t="s">
        <v>35</v>
      </c>
      <c r="B593" s="305">
        <f>NPV(0.1,D593:Y593)</f>
        <v>115107.6962293836</v>
      </c>
      <c r="C593" s="305">
        <f>B593-B583</f>
        <v>-18.587093168564024</v>
      </c>
      <c r="D593" s="309">
        <v>-1726.2238931597251</v>
      </c>
      <c r="E593" s="310">
        <v>3294.2295759192298</v>
      </c>
      <c r="F593" s="310">
        <v>3549.635315335353</v>
      </c>
      <c r="G593" s="310">
        <v>10027.62504519094</v>
      </c>
      <c r="H593" s="310">
        <v>15271.582291084707</v>
      </c>
      <c r="I593" s="310">
        <v>16526.985959864774</v>
      </c>
      <c r="J593" s="310">
        <v>16770.868261077449</v>
      </c>
      <c r="K593" s="310">
        <v>17486.496093384332</v>
      </c>
      <c r="L593" s="310">
        <v>18196.456560776533</v>
      </c>
      <c r="M593" s="310">
        <v>19173.718620698397</v>
      </c>
      <c r="N593" s="311">
        <v>20291.945142837358</v>
      </c>
      <c r="O593" s="31">
        <v>20781.26419461624</v>
      </c>
      <c r="P593" s="31">
        <v>21310.966439763532</v>
      </c>
      <c r="Q593" s="31">
        <v>21856.612894072186</v>
      </c>
      <c r="R593" s="31">
        <v>22367.205275064967</v>
      </c>
      <c r="S593" s="31">
        <v>22866.993000613395</v>
      </c>
      <c r="T593" s="31">
        <v>23355.087710083644</v>
      </c>
      <c r="U593" s="31">
        <v>24099.488787382023</v>
      </c>
      <c r="V593" s="31">
        <v>24902.725780129782</v>
      </c>
      <c r="W593" s="31">
        <v>25110.874055778961</v>
      </c>
      <c r="X593" s="31">
        <v>7408.469030017447</v>
      </c>
    </row>
    <row r="594" spans="1:24">
      <c r="A594" s="260" t="s">
        <v>32</v>
      </c>
      <c r="B594" s="305">
        <f>NPV(0.1,D594:Y594)</f>
        <v>123890.92263668095</v>
      </c>
      <c r="C594" s="305">
        <f>B594-B584</f>
        <v>13.129356769786682</v>
      </c>
      <c r="D594" s="312">
        <v>-5874.3151109804749</v>
      </c>
      <c r="E594" s="313">
        <v>5917.9155857015176</v>
      </c>
      <c r="F594" s="313">
        <v>3278.3907058373588</v>
      </c>
      <c r="G594" s="313">
        <v>11294.94957885144</v>
      </c>
      <c r="H594" s="313">
        <v>25403.609443260255</v>
      </c>
      <c r="I594" s="313">
        <v>22404.575432987062</v>
      </c>
      <c r="J594" s="313">
        <v>18436.108817667995</v>
      </c>
      <c r="K594" s="313">
        <v>19161.290025859678</v>
      </c>
      <c r="L594" s="313">
        <v>14420.697117367081</v>
      </c>
      <c r="M594" s="313">
        <v>11657.790355334837</v>
      </c>
      <c r="N594" s="314">
        <v>26410.045699427908</v>
      </c>
      <c r="O594" s="31">
        <v>25920.77812709158</v>
      </c>
      <c r="P594" s="31">
        <v>26440.926996354076</v>
      </c>
      <c r="Q594" s="31">
        <v>26955.04462870862</v>
      </c>
      <c r="R594" s="31">
        <v>27497.165831655519</v>
      </c>
      <c r="S594" s="31">
        <v>25178.707671189419</v>
      </c>
      <c r="T594" s="31">
        <v>17907.856494645144</v>
      </c>
      <c r="U594" s="31">
        <v>16634.895374104617</v>
      </c>
      <c r="V594" s="31">
        <v>14514.794564691285</v>
      </c>
      <c r="W594" s="31">
        <v>12746.662840340457</v>
      </c>
      <c r="X594" s="31">
        <v>11798.887814578948</v>
      </c>
    </row>
    <row r="596" spans="1:24">
      <c r="A596" s="29" t="s">
        <v>676</v>
      </c>
    </row>
    <row r="597" spans="1:24">
      <c r="A597" s="261">
        <v>36389</v>
      </c>
    </row>
    <row r="598" spans="1:24">
      <c r="A598" s="254" t="s">
        <v>379</v>
      </c>
      <c r="B598" s="255">
        <v>44643.366178604374</v>
      </c>
      <c r="C598" s="256"/>
      <c r="D598" s="256"/>
      <c r="E598" s="256"/>
      <c r="F598" s="256"/>
      <c r="G598" s="256"/>
      <c r="H598" s="256"/>
      <c r="I598" s="256"/>
      <c r="J598" s="256"/>
      <c r="K598" s="256"/>
      <c r="L598" s="256"/>
      <c r="M598" s="256"/>
      <c r="N598" s="256"/>
      <c r="O598" s="256"/>
      <c r="P598" s="256"/>
      <c r="Q598" s="256"/>
      <c r="R598" s="256"/>
      <c r="S598" s="256"/>
      <c r="T598" s="256"/>
      <c r="U598" s="256"/>
      <c r="V598" s="256"/>
    </row>
    <row r="599" spans="1:24">
      <c r="A599" s="257" t="s">
        <v>380</v>
      </c>
      <c r="B599" s="258">
        <v>88191.499978738721</v>
      </c>
      <c r="C599" s="256"/>
      <c r="D599" s="256"/>
      <c r="E599" s="256"/>
      <c r="F599" s="256"/>
      <c r="G599" s="256"/>
      <c r="H599" s="256"/>
      <c r="I599" s="256"/>
      <c r="J599" s="256"/>
      <c r="K599" s="256"/>
      <c r="L599" s="256"/>
      <c r="M599" s="256"/>
      <c r="N599" s="256"/>
      <c r="O599" s="256"/>
      <c r="P599" s="256"/>
      <c r="Q599" s="256"/>
      <c r="R599" s="256"/>
      <c r="S599" s="256"/>
      <c r="T599" s="256"/>
      <c r="U599" s="256"/>
      <c r="V599" s="256"/>
    </row>
    <row r="600" spans="1:24">
      <c r="A600" s="259" t="s">
        <v>383</v>
      </c>
      <c r="B600" s="304" t="s">
        <v>483</v>
      </c>
      <c r="C600" s="304" t="s">
        <v>484</v>
      </c>
      <c r="D600" s="306">
        <v>2000</v>
      </c>
      <c r="E600" s="307">
        <v>2001</v>
      </c>
      <c r="F600" s="307">
        <v>2002</v>
      </c>
      <c r="G600" s="307">
        <v>2003</v>
      </c>
      <c r="H600" s="307">
        <v>2004</v>
      </c>
      <c r="I600" s="307">
        <v>2005</v>
      </c>
      <c r="J600" s="307">
        <v>2006</v>
      </c>
      <c r="K600" s="307">
        <v>2007</v>
      </c>
      <c r="L600" s="307">
        <v>2008</v>
      </c>
      <c r="M600" s="307">
        <v>2009</v>
      </c>
      <c r="N600" s="308">
        <v>2010</v>
      </c>
      <c r="O600" s="256">
        <v>2011</v>
      </c>
      <c r="P600" s="256">
        <v>2012</v>
      </c>
      <c r="Q600" s="256">
        <v>2013</v>
      </c>
      <c r="R600" s="256">
        <v>2014</v>
      </c>
      <c r="S600" s="256">
        <v>2015</v>
      </c>
      <c r="T600" s="256">
        <v>2016</v>
      </c>
      <c r="U600" s="256">
        <v>2017</v>
      </c>
      <c r="V600" s="256">
        <v>2018</v>
      </c>
      <c r="W600" s="256">
        <v>2019</v>
      </c>
      <c r="X600" s="256">
        <v>2020</v>
      </c>
    </row>
    <row r="601" spans="1:24">
      <c r="A601" s="259" t="s">
        <v>381</v>
      </c>
      <c r="B601" s="305">
        <f>NPV(0.1,D601:Y601)</f>
        <v>587133.4111321813</v>
      </c>
      <c r="C601" s="305">
        <f>B601-B591</f>
        <v>0</v>
      </c>
      <c r="D601" s="309">
        <v>41364.1276</v>
      </c>
      <c r="E601" s="310">
        <v>53599.168868000001</v>
      </c>
      <c r="F601" s="310">
        <v>53676.461374039995</v>
      </c>
      <c r="G601" s="310">
        <v>65143.101439719816</v>
      </c>
      <c r="H601" s="310">
        <v>73806.689285054352</v>
      </c>
      <c r="I601" s="310">
        <v>75317.217318825977</v>
      </c>
      <c r="J601" s="310">
        <v>75252.785341236653</v>
      </c>
      <c r="K601" s="310">
        <v>75972.254192721084</v>
      </c>
      <c r="L601" s="310">
        <v>76688.273847830875</v>
      </c>
      <c r="M601" s="310">
        <v>77399.989832817198</v>
      </c>
      <c r="N601" s="311">
        <v>78106.499509783054</v>
      </c>
      <c r="O601" s="31">
        <v>78806.849955860729</v>
      </c>
      <c r="P601" s="31">
        <v>79500.035758487647</v>
      </c>
      <c r="Q601" s="31">
        <v>80184.996723655335</v>
      </c>
      <c r="R601" s="31">
        <v>80860.615493893827</v>
      </c>
      <c r="S601" s="31">
        <v>81525.715072638748</v>
      </c>
      <c r="T601" s="31">
        <v>82179.056251507223</v>
      </c>
      <c r="U601" s="31">
        <v>82819.334936885876</v>
      </c>
      <c r="V601" s="31">
        <v>83445.179372104292</v>
      </c>
      <c r="W601" s="31">
        <v>82865.432394184551</v>
      </c>
      <c r="X601" s="31">
        <v>35526.302372602433</v>
      </c>
    </row>
    <row r="602" spans="1:24">
      <c r="A602" s="260" t="s">
        <v>382</v>
      </c>
      <c r="B602" s="305">
        <f>NPV(0.1,D602:Y602)</f>
        <v>254405.15527472971</v>
      </c>
      <c r="C602" s="305">
        <f>B602-B592</f>
        <v>-4.8170157241111156</v>
      </c>
      <c r="D602" s="309">
        <v>25846.277089721454</v>
      </c>
      <c r="E602" s="310">
        <v>27264.483356425724</v>
      </c>
      <c r="F602" s="310">
        <v>27415.098288348778</v>
      </c>
      <c r="G602" s="310">
        <v>28972.058059693703</v>
      </c>
      <c r="H602" s="310">
        <v>29949.482508081262</v>
      </c>
      <c r="I602" s="310">
        <v>30091.524990975071</v>
      </c>
      <c r="J602" s="310">
        <v>30280.143412129761</v>
      </c>
      <c r="K602" s="310">
        <v>30474.420385919093</v>
      </c>
      <c r="L602" s="310">
        <v>30674.52566892211</v>
      </c>
      <c r="M602" s="310">
        <v>30839.551912576306</v>
      </c>
      <c r="N602" s="311">
        <v>31051.8436073142</v>
      </c>
      <c r="O602" s="31">
        <v>31270.504052894234</v>
      </c>
      <c r="P602" s="31">
        <v>31495.724311841666</v>
      </c>
      <c r="Q602" s="31">
        <v>31686.618980718617</v>
      </c>
      <c r="R602" s="31">
        <v>31925.555153435947</v>
      </c>
      <c r="S602" s="31">
        <v>32171.6594113348</v>
      </c>
      <c r="T602" s="31">
        <v>32425.146796970617</v>
      </c>
      <c r="U602" s="31">
        <v>32645.156606336604</v>
      </c>
      <c r="V602" s="31">
        <v>32914.081373757646</v>
      </c>
      <c r="W602" s="31">
        <v>33191.073884201316</v>
      </c>
      <c r="X602" s="31">
        <v>16231.225240409882</v>
      </c>
    </row>
    <row r="603" spans="1:24">
      <c r="A603" s="260" t="s">
        <v>35</v>
      </c>
      <c r="B603" s="305">
        <f>NPV(0.1,D603:Y603)</f>
        <v>114784.06176342482</v>
      </c>
      <c r="C603" s="305">
        <f>B603-B593</f>
        <v>-323.63446595877758</v>
      </c>
      <c r="D603" s="309">
        <v>-2084.9737740139412</v>
      </c>
      <c r="E603" s="310">
        <v>3294.5528210830844</v>
      </c>
      <c r="F603" s="310">
        <v>3549.9585604992089</v>
      </c>
      <c r="G603" s="310">
        <v>10027.948290354791</v>
      </c>
      <c r="H603" s="310">
        <v>15271.905536248563</v>
      </c>
      <c r="I603" s="310">
        <v>16527.309205028636</v>
      </c>
      <c r="J603" s="310">
        <v>16771.191506241299</v>
      </c>
      <c r="K603" s="310">
        <v>17486.81933854819</v>
      </c>
      <c r="L603" s="310">
        <v>18196.779805940383</v>
      </c>
      <c r="M603" s="310">
        <v>19174.041865862251</v>
      </c>
      <c r="N603" s="311">
        <v>20292.268388001212</v>
      </c>
      <c r="O603" s="31">
        <v>20781.587439780094</v>
      </c>
      <c r="P603" s="31">
        <v>21311.289684927389</v>
      </c>
      <c r="Q603" s="31">
        <v>21856.936139236044</v>
      </c>
      <c r="R603" s="31">
        <v>22367.528520228821</v>
      </c>
      <c r="S603" s="31">
        <v>22867.316245777252</v>
      </c>
      <c r="T603" s="31">
        <v>23355.410955247502</v>
      </c>
      <c r="U603" s="31">
        <v>24099.81203254588</v>
      </c>
      <c r="V603" s="31">
        <v>24903.049025293643</v>
      </c>
      <c r="W603" s="31">
        <v>25111.197300942818</v>
      </c>
      <c r="X603" s="31">
        <v>7408.7922751813021</v>
      </c>
    </row>
    <row r="604" spans="1:24">
      <c r="A604" s="260" t="s">
        <v>32</v>
      </c>
      <c r="B604" s="305">
        <f>NPV(0.1,D604:Y604)</f>
        <v>123486.13715361798</v>
      </c>
      <c r="C604" s="305">
        <f>B604-B594</f>
        <v>-404.7854830629658</v>
      </c>
      <c r="D604" s="312">
        <v>-6468.9314583429732</v>
      </c>
      <c r="E604" s="313">
        <v>5918.4513541265151</v>
      </c>
      <c r="F604" s="313">
        <v>3278.92647426236</v>
      </c>
      <c r="G604" s="313">
        <v>11295.485347276437</v>
      </c>
      <c r="H604" s="313">
        <v>25404.145211685252</v>
      </c>
      <c r="I604" s="313">
        <v>22639.915051614626</v>
      </c>
      <c r="J604" s="313">
        <v>18436.432062831849</v>
      </c>
      <c r="K604" s="313">
        <v>19161.613271023536</v>
      </c>
      <c r="L604" s="313">
        <v>14421.020362530935</v>
      </c>
      <c r="M604" s="313">
        <v>11658.113600498689</v>
      </c>
      <c r="N604" s="314">
        <v>26410.368944591763</v>
      </c>
      <c r="O604" s="31">
        <v>25921.101372255434</v>
      </c>
      <c r="P604" s="31">
        <v>26441.250241517933</v>
      </c>
      <c r="Q604" s="31">
        <v>26955.367873872478</v>
      </c>
      <c r="R604" s="31">
        <v>27497.489076819365</v>
      </c>
      <c r="S604" s="31">
        <v>25179.030916353273</v>
      </c>
      <c r="T604" s="31">
        <v>17908.179739808998</v>
      </c>
      <c r="U604" s="31">
        <v>16635.218619268475</v>
      </c>
      <c r="V604" s="31">
        <v>14515.117809855143</v>
      </c>
      <c r="W604" s="31">
        <v>12746.986085504319</v>
      </c>
      <c r="X604" s="31">
        <v>11799.211059742802</v>
      </c>
    </row>
    <row r="606" spans="1:24">
      <c r="A606" s="29" t="s">
        <v>678</v>
      </c>
    </row>
    <row r="607" spans="1:24">
      <c r="A607" s="261">
        <v>36390</v>
      </c>
    </row>
    <row r="608" spans="1:24">
      <c r="A608" s="254" t="s">
        <v>379</v>
      </c>
      <c r="B608" s="255">
        <v>44426.255476437182</v>
      </c>
      <c r="C608" s="256"/>
      <c r="D608" s="256"/>
      <c r="E608" s="256"/>
      <c r="F608" s="256"/>
      <c r="G608" s="256"/>
      <c r="H608" s="256"/>
      <c r="I608" s="256"/>
      <c r="J608" s="256"/>
      <c r="K608" s="256"/>
      <c r="L608" s="256"/>
      <c r="M608" s="256"/>
      <c r="N608" s="256"/>
      <c r="O608" s="256"/>
      <c r="P608" s="256"/>
      <c r="Q608" s="256"/>
      <c r="R608" s="256"/>
      <c r="S608" s="256"/>
      <c r="T608" s="256"/>
      <c r="U608" s="256"/>
      <c r="V608" s="256"/>
    </row>
    <row r="609" spans="1:24">
      <c r="A609" s="257" t="s">
        <v>380</v>
      </c>
      <c r="B609" s="258">
        <v>87901.38469699776</v>
      </c>
      <c r="C609" s="256"/>
      <c r="D609" s="256"/>
      <c r="E609" s="256"/>
      <c r="F609" s="256"/>
      <c r="G609" s="256"/>
      <c r="H609" s="256"/>
      <c r="I609" s="256"/>
      <c r="J609" s="256"/>
      <c r="K609" s="256"/>
      <c r="L609" s="256"/>
      <c r="M609" s="256"/>
      <c r="N609" s="256"/>
      <c r="O609" s="256"/>
      <c r="P609" s="256"/>
      <c r="Q609" s="256"/>
      <c r="R609" s="256"/>
      <c r="S609" s="256"/>
      <c r="T609" s="256"/>
      <c r="U609" s="256"/>
      <c r="V609" s="256"/>
    </row>
    <row r="610" spans="1:24">
      <c r="A610" s="259" t="s">
        <v>383</v>
      </c>
      <c r="B610" s="304" t="s">
        <v>483</v>
      </c>
      <c r="C610" s="304" t="s">
        <v>484</v>
      </c>
      <c r="D610" s="306">
        <v>2000</v>
      </c>
      <c r="E610" s="307">
        <v>2001</v>
      </c>
      <c r="F610" s="307">
        <v>2002</v>
      </c>
      <c r="G610" s="307">
        <v>2003</v>
      </c>
      <c r="H610" s="307">
        <v>2004</v>
      </c>
      <c r="I610" s="307">
        <v>2005</v>
      </c>
      <c r="J610" s="307">
        <v>2006</v>
      </c>
      <c r="K610" s="307">
        <v>2007</v>
      </c>
      <c r="L610" s="307">
        <v>2008</v>
      </c>
      <c r="M610" s="307">
        <v>2009</v>
      </c>
      <c r="N610" s="308">
        <v>2010</v>
      </c>
      <c r="O610" s="256">
        <v>2011</v>
      </c>
      <c r="P610" s="256">
        <v>2012</v>
      </c>
      <c r="Q610" s="256">
        <v>2013</v>
      </c>
      <c r="R610" s="256">
        <v>2014</v>
      </c>
      <c r="S610" s="256">
        <v>2015</v>
      </c>
      <c r="T610" s="256">
        <v>2016</v>
      </c>
      <c r="U610" s="256">
        <v>2017</v>
      </c>
      <c r="V610" s="256">
        <v>2018</v>
      </c>
      <c r="W610" s="256">
        <v>2019</v>
      </c>
      <c r="X610" s="256">
        <v>2020</v>
      </c>
    </row>
    <row r="611" spans="1:24">
      <c r="A611" s="259" t="s">
        <v>381</v>
      </c>
      <c r="B611" s="305">
        <f>NPV(0.1,D611:Y611)</f>
        <v>587133.4111321813</v>
      </c>
      <c r="C611" s="305">
        <f>B611-B601</f>
        <v>0</v>
      </c>
      <c r="D611" s="309">
        <v>41364.1276</v>
      </c>
      <c r="E611" s="310">
        <v>53599.168868000001</v>
      </c>
      <c r="F611" s="310">
        <v>53676.461374039995</v>
      </c>
      <c r="G611" s="310">
        <v>65143.101439719816</v>
      </c>
      <c r="H611" s="310">
        <v>73806.689285054352</v>
      </c>
      <c r="I611" s="310">
        <v>75317.217318825977</v>
      </c>
      <c r="J611" s="310">
        <v>75252.785341236653</v>
      </c>
      <c r="K611" s="310">
        <v>75972.254192721084</v>
      </c>
      <c r="L611" s="310">
        <v>76688.273847830875</v>
      </c>
      <c r="M611" s="310">
        <v>77399.989832817198</v>
      </c>
      <c r="N611" s="311">
        <v>78106.499509783054</v>
      </c>
      <c r="O611" s="31">
        <v>78806.849955860729</v>
      </c>
      <c r="P611" s="31">
        <v>79500.035758487647</v>
      </c>
      <c r="Q611" s="31">
        <v>80184.996723655335</v>
      </c>
      <c r="R611" s="31">
        <v>80860.615493893827</v>
      </c>
      <c r="S611" s="31">
        <v>81525.715072638748</v>
      </c>
      <c r="T611" s="31">
        <v>82179.056251507223</v>
      </c>
      <c r="U611" s="31">
        <v>82819.334936885876</v>
      </c>
      <c r="V611" s="31">
        <v>83445.179372104292</v>
      </c>
      <c r="W611" s="31">
        <v>82865.432394184551</v>
      </c>
      <c r="X611" s="31">
        <v>35526.302372602433</v>
      </c>
    </row>
    <row r="612" spans="1:24">
      <c r="A612" s="260" t="s">
        <v>382</v>
      </c>
      <c r="B612" s="305">
        <f>NPV(0.1,D612:Y612)</f>
        <v>254716.38404623655</v>
      </c>
      <c r="C612" s="305">
        <f>B612-B602</f>
        <v>311.2287715068378</v>
      </c>
      <c r="D612" s="309">
        <v>26188.628738379015</v>
      </c>
      <c r="E612" s="310">
        <v>27264.483356425724</v>
      </c>
      <c r="F612" s="310">
        <v>27415.098288348778</v>
      </c>
      <c r="G612" s="310">
        <v>28972.058059693703</v>
      </c>
      <c r="H612" s="310">
        <v>29949.482508081262</v>
      </c>
      <c r="I612" s="310">
        <v>30091.524990975071</v>
      </c>
      <c r="J612" s="310">
        <v>30280.143412129761</v>
      </c>
      <c r="K612" s="310">
        <v>30474.420385919093</v>
      </c>
      <c r="L612" s="310">
        <v>30674.52566892211</v>
      </c>
      <c r="M612" s="310">
        <v>30839.551912576306</v>
      </c>
      <c r="N612" s="311">
        <v>31051.8436073142</v>
      </c>
      <c r="O612" s="31">
        <v>31270.504052894234</v>
      </c>
      <c r="P612" s="31">
        <v>31495.724311841666</v>
      </c>
      <c r="Q612" s="31">
        <v>31686.618980718617</v>
      </c>
      <c r="R612" s="31">
        <v>31925.555153435947</v>
      </c>
      <c r="S612" s="31">
        <v>32171.6594113348</v>
      </c>
      <c r="T612" s="31">
        <v>32425.146796970617</v>
      </c>
      <c r="U612" s="31">
        <v>32645.156606336604</v>
      </c>
      <c r="V612" s="31">
        <v>32914.081373757646</v>
      </c>
      <c r="W612" s="31">
        <v>33191.073884201316</v>
      </c>
      <c r="X612" s="31">
        <v>16231.225240409882</v>
      </c>
    </row>
    <row r="613" spans="1:24">
      <c r="A613" s="260" t="s">
        <v>35</v>
      </c>
      <c r="B613" s="305">
        <f>NPV(0.1,D613:Y613)</f>
        <v>114593.94093802766</v>
      </c>
      <c r="C613" s="305">
        <f>B613-B603</f>
        <v>-190.1208253971563</v>
      </c>
      <c r="D613" s="309">
        <v>-2294.1066819508142</v>
      </c>
      <c r="E613" s="310">
        <v>3294.5528210830844</v>
      </c>
      <c r="F613" s="310">
        <v>3549.9585604992089</v>
      </c>
      <c r="G613" s="310">
        <v>10027.948290354791</v>
      </c>
      <c r="H613" s="310">
        <v>15271.905536248563</v>
      </c>
      <c r="I613" s="310">
        <v>16527.309205028636</v>
      </c>
      <c r="J613" s="310">
        <v>16771.191506241299</v>
      </c>
      <c r="K613" s="310">
        <v>17486.81933854819</v>
      </c>
      <c r="L613" s="310">
        <v>18196.779805940383</v>
      </c>
      <c r="M613" s="310">
        <v>19174.041865862251</v>
      </c>
      <c r="N613" s="311">
        <v>20292.268388001212</v>
      </c>
      <c r="O613" s="31">
        <v>20781.587439780094</v>
      </c>
      <c r="P613" s="31">
        <v>21311.289684927389</v>
      </c>
      <c r="Q613" s="31">
        <v>21856.936139236044</v>
      </c>
      <c r="R613" s="31">
        <v>22367.528520228821</v>
      </c>
      <c r="S613" s="31">
        <v>22867.316245777252</v>
      </c>
      <c r="T613" s="31">
        <v>23355.410955247502</v>
      </c>
      <c r="U613" s="31">
        <v>24099.81203254588</v>
      </c>
      <c r="V613" s="31">
        <v>24903.049025293643</v>
      </c>
      <c r="W613" s="31">
        <v>25111.197300942818</v>
      </c>
      <c r="X613" s="31">
        <v>7408.7922751813021</v>
      </c>
    </row>
    <row r="614" spans="1:24">
      <c r="A614" s="260" t="s">
        <v>32</v>
      </c>
      <c r="B614" s="305">
        <f>NPV(0.1,D614:Y614)</f>
        <v>123276.92566053836</v>
      </c>
      <c r="C614" s="305">
        <f>B614-B604</f>
        <v>-209.21149307962332</v>
      </c>
      <c r="D614" s="312">
        <v>-6473.2108539511919</v>
      </c>
      <c r="E614" s="313">
        <v>5576.0997054689542</v>
      </c>
      <c r="F614" s="313">
        <v>3278.92647426236</v>
      </c>
      <c r="G614" s="313">
        <v>11295.485347276437</v>
      </c>
      <c r="H614" s="313">
        <v>25404.145211685252</v>
      </c>
      <c r="I614" s="313">
        <v>22777.413187943534</v>
      </c>
      <c r="J614" s="313">
        <v>18436.432062831849</v>
      </c>
      <c r="K614" s="313">
        <v>19161.613271023536</v>
      </c>
      <c r="L614" s="313">
        <v>14421.020362530935</v>
      </c>
      <c r="M614" s="313">
        <v>11658.113600498689</v>
      </c>
      <c r="N614" s="314">
        <v>26410.368944591763</v>
      </c>
      <c r="O614" s="31">
        <v>25921.101372255434</v>
      </c>
      <c r="P614" s="31">
        <v>26441.250241517933</v>
      </c>
      <c r="Q614" s="31">
        <v>26955.367873872478</v>
      </c>
      <c r="R614" s="31">
        <v>27497.489076819365</v>
      </c>
      <c r="S614" s="31">
        <v>25179.030916353273</v>
      </c>
      <c r="T614" s="31">
        <v>17908.179739808998</v>
      </c>
      <c r="U614" s="31">
        <v>16635.218619268475</v>
      </c>
      <c r="V614" s="31">
        <v>14515.117809855143</v>
      </c>
      <c r="W614" s="31">
        <v>12746.986085504319</v>
      </c>
      <c r="X614" s="31">
        <v>11799.211059742802</v>
      </c>
    </row>
    <row r="617" spans="1:24">
      <c r="A617" s="1037" t="s">
        <v>679</v>
      </c>
    </row>
    <row r="618" spans="1:24">
      <c r="A618" s="261">
        <v>36391</v>
      </c>
    </row>
    <row r="619" spans="1:24">
      <c r="A619" s="254" t="s">
        <v>379</v>
      </c>
      <c r="B619" s="255">
        <v>44430.436359260915</v>
      </c>
      <c r="C619" s="256"/>
      <c r="D619" s="256"/>
      <c r="E619" s="256"/>
      <c r="F619" s="256"/>
      <c r="G619" s="256"/>
      <c r="H619" s="256"/>
      <c r="I619" s="256"/>
      <c r="J619" s="256"/>
      <c r="K619" s="256"/>
      <c r="L619" s="256"/>
      <c r="M619" s="256"/>
      <c r="N619" s="256"/>
      <c r="O619" s="256"/>
      <c r="P619" s="256"/>
      <c r="Q619" s="256"/>
      <c r="R619" s="256"/>
      <c r="S619" s="256"/>
      <c r="T619" s="256"/>
      <c r="U619" s="256"/>
      <c r="V619" s="256"/>
    </row>
    <row r="620" spans="1:24">
      <c r="A620" s="257" t="s">
        <v>380</v>
      </c>
      <c r="B620" s="258">
        <v>87903.521963361418</v>
      </c>
      <c r="C620" s="256"/>
      <c r="D620" s="256"/>
      <c r="E620" s="256"/>
      <c r="F620" s="256"/>
      <c r="G620" s="256"/>
      <c r="H620" s="256"/>
      <c r="I620" s="256"/>
      <c r="J620" s="256"/>
      <c r="K620" s="256"/>
      <c r="L620" s="256"/>
      <c r="M620" s="256"/>
      <c r="N620" s="256"/>
      <c r="O620" s="256"/>
      <c r="P620" s="256"/>
      <c r="Q620" s="256"/>
      <c r="R620" s="256"/>
      <c r="S620" s="256"/>
      <c r="T620" s="256"/>
      <c r="U620" s="256"/>
      <c r="V620" s="256"/>
    </row>
    <row r="621" spans="1:24">
      <c r="A621" s="259" t="s">
        <v>383</v>
      </c>
      <c r="B621" s="304" t="s">
        <v>483</v>
      </c>
      <c r="C621" s="304" t="s">
        <v>484</v>
      </c>
      <c r="D621" s="306">
        <v>2000</v>
      </c>
      <c r="E621" s="307">
        <v>2001</v>
      </c>
      <c r="F621" s="307">
        <v>2002</v>
      </c>
      <c r="G621" s="307">
        <v>2003</v>
      </c>
      <c r="H621" s="307">
        <v>2004</v>
      </c>
      <c r="I621" s="307">
        <v>2005</v>
      </c>
      <c r="J621" s="307">
        <v>2006</v>
      </c>
      <c r="K621" s="307">
        <v>2007</v>
      </c>
      <c r="L621" s="307">
        <v>2008</v>
      </c>
      <c r="M621" s="307">
        <v>2009</v>
      </c>
      <c r="N621" s="308">
        <v>2010</v>
      </c>
      <c r="O621" s="256">
        <v>2011</v>
      </c>
      <c r="P621" s="256">
        <v>2012</v>
      </c>
      <c r="Q621" s="256">
        <v>2013</v>
      </c>
      <c r="R621" s="256">
        <v>2014</v>
      </c>
      <c r="S621" s="256">
        <v>2015</v>
      </c>
      <c r="T621" s="256">
        <v>2016</v>
      </c>
      <c r="U621" s="256">
        <v>2017</v>
      </c>
      <c r="V621" s="256">
        <v>2018</v>
      </c>
      <c r="W621" s="256">
        <v>2019</v>
      </c>
      <c r="X621" s="256">
        <v>2020</v>
      </c>
    </row>
    <row r="622" spans="1:24">
      <c r="A622" s="259" t="s">
        <v>381</v>
      </c>
      <c r="B622" s="305">
        <f>NPV(0.1,D622:Y622)</f>
        <v>587133.4111321813</v>
      </c>
      <c r="C622" s="305">
        <f>B622-B611</f>
        <v>0</v>
      </c>
      <c r="D622" s="309">
        <v>41364.1276</v>
      </c>
      <c r="E622" s="310">
        <v>53599.168868000001</v>
      </c>
      <c r="F622" s="310">
        <v>53676.461374039995</v>
      </c>
      <c r="G622" s="310">
        <v>65143.101439719816</v>
      </c>
      <c r="H622" s="310">
        <v>73806.689285054352</v>
      </c>
      <c r="I622" s="310">
        <v>75317.217318825977</v>
      </c>
      <c r="J622" s="310">
        <v>75252.785341236653</v>
      </c>
      <c r="K622" s="310">
        <v>75972.254192721084</v>
      </c>
      <c r="L622" s="310">
        <v>76688.273847830875</v>
      </c>
      <c r="M622" s="310">
        <v>77399.989832817198</v>
      </c>
      <c r="N622" s="311">
        <v>78106.499509783054</v>
      </c>
      <c r="O622" s="31">
        <v>78806.849955860729</v>
      </c>
      <c r="P622" s="31">
        <v>79500.035758487647</v>
      </c>
      <c r="Q622" s="31">
        <v>80184.996723655335</v>
      </c>
      <c r="R622" s="31">
        <v>80860.615493893827</v>
      </c>
      <c r="S622" s="31">
        <v>81525.715072638748</v>
      </c>
      <c r="T622" s="31">
        <v>82179.056251507223</v>
      </c>
      <c r="U622" s="31">
        <v>82819.334936885876</v>
      </c>
      <c r="V622" s="31">
        <v>83445.179372104292</v>
      </c>
      <c r="W622" s="31">
        <v>82865.432394184551</v>
      </c>
      <c r="X622" s="31">
        <v>35526.302372602433</v>
      </c>
    </row>
    <row r="623" spans="1:24">
      <c r="A623" s="260" t="s">
        <v>382</v>
      </c>
      <c r="B623" s="305">
        <f>NPV(0.1,D623:Y623)</f>
        <v>254717.39144909722</v>
      </c>
      <c r="C623" s="305">
        <f>B623-B612</f>
        <v>1.0074028606759384</v>
      </c>
      <c r="D623" s="309">
        <v>26188.774875502433</v>
      </c>
      <c r="E623" s="310">
        <v>27264.609694549141</v>
      </c>
      <c r="F623" s="310">
        <v>27415.224626472194</v>
      </c>
      <c r="G623" s="310">
        <v>28972.18439781712</v>
      </c>
      <c r="H623" s="310">
        <v>29949.608846204679</v>
      </c>
      <c r="I623" s="310">
        <v>30091.640920283677</v>
      </c>
      <c r="J623" s="310">
        <v>30280.259341438366</v>
      </c>
      <c r="K623" s="310">
        <v>30474.536315227699</v>
      </c>
      <c r="L623" s="310">
        <v>30674.641598230715</v>
      </c>
      <c r="M623" s="310">
        <v>30839.657433070101</v>
      </c>
      <c r="N623" s="311">
        <v>31051.949127807995</v>
      </c>
      <c r="O623" s="31">
        <v>31270.609573388028</v>
      </c>
      <c r="P623" s="31">
        <v>31495.829832335461</v>
      </c>
      <c r="Q623" s="31">
        <v>31686.714092397604</v>
      </c>
      <c r="R623" s="31">
        <v>31925.650265114935</v>
      </c>
      <c r="S623" s="31">
        <v>32171.754523013788</v>
      </c>
      <c r="T623" s="31">
        <v>32425.241908649605</v>
      </c>
      <c r="U623" s="31">
        <v>32645.241309200781</v>
      </c>
      <c r="V623" s="31">
        <v>32914.166076621827</v>
      </c>
      <c r="W623" s="31">
        <v>33191.158587065496</v>
      </c>
      <c r="X623" s="31">
        <v>16231.309943274058</v>
      </c>
    </row>
    <row r="624" spans="1:24">
      <c r="A624" s="260" t="s">
        <v>35</v>
      </c>
      <c r="B624" s="305">
        <f>NPV(0.1,D624:Y624)</f>
        <v>114599.47097150312</v>
      </c>
      <c r="C624" s="305">
        <f>B624-B613</f>
        <v>5.5300334754574578</v>
      </c>
      <c r="D624" s="309">
        <v>-2281.3341429163202</v>
      </c>
      <c r="E624" s="310">
        <v>3293.758924868132</v>
      </c>
      <c r="F624" s="310">
        <v>3549.1646642842552</v>
      </c>
      <c r="G624" s="310">
        <v>10027.154394139841</v>
      </c>
      <c r="H624" s="310">
        <v>15271.111640033614</v>
      </c>
      <c r="I624" s="310">
        <v>16526.521667263303</v>
      </c>
      <c r="J624" s="310">
        <v>16770.403968475963</v>
      </c>
      <c r="K624" s="310">
        <v>17486.031800782861</v>
      </c>
      <c r="L624" s="310">
        <v>18195.992268175054</v>
      </c>
      <c r="M624" s="310">
        <v>19173.260686546542</v>
      </c>
      <c r="N624" s="311">
        <v>20291.487208685496</v>
      </c>
      <c r="O624" s="31">
        <v>20780.806260464378</v>
      </c>
      <c r="P624" s="31">
        <v>21310.508505611673</v>
      </c>
      <c r="Q624" s="31">
        <v>21856.161318369945</v>
      </c>
      <c r="R624" s="31">
        <v>22366.753699362718</v>
      </c>
      <c r="S624" s="31">
        <v>22866.541424911153</v>
      </c>
      <c r="T624" s="31">
        <v>23354.636134381402</v>
      </c>
      <c r="U624" s="31">
        <v>24099.043570129405</v>
      </c>
      <c r="V624" s="31">
        <v>24902.28056287716</v>
      </c>
      <c r="W624" s="31">
        <v>25110.428838526335</v>
      </c>
      <c r="X624" s="31">
        <v>7408.0238127648236</v>
      </c>
    </row>
    <row r="625" spans="1:24">
      <c r="A625" s="260" t="s">
        <v>32</v>
      </c>
      <c r="B625" s="305">
        <f>NPV(0.1,D625:Y625)</f>
        <v>123298.41322509671</v>
      </c>
      <c r="C625" s="305">
        <f>B625-B614</f>
        <v>21.48756455835246</v>
      </c>
      <c r="D625" s="312">
        <v>-6451.2610776652364</v>
      </c>
      <c r="E625" s="313">
        <v>5575.9717881189936</v>
      </c>
      <c r="F625" s="313">
        <v>3278.7985569123957</v>
      </c>
      <c r="G625" s="313">
        <v>11295.35742992648</v>
      </c>
      <c r="H625" s="313">
        <v>25404.017294335295</v>
      </c>
      <c r="I625" s="313">
        <v>22775.759606955438</v>
      </c>
      <c r="J625" s="313">
        <v>18437.287977887656</v>
      </c>
      <c r="K625" s="313">
        <v>19162.470756813207</v>
      </c>
      <c r="L625" s="313">
        <v>14421.876277586747</v>
      </c>
      <c r="M625" s="313">
        <v>11658.967035923175</v>
      </c>
      <c r="N625" s="314">
        <v>26411.231218097193</v>
      </c>
      <c r="O625" s="31">
        <v>25921.965216494733</v>
      </c>
      <c r="P625" s="31">
        <v>26442.112515023367</v>
      </c>
      <c r="Q625" s="31">
        <v>26956.227667746574</v>
      </c>
      <c r="R625" s="31">
        <v>27498.357708774412</v>
      </c>
      <c r="S625" s="31">
        <v>25179.436181817851</v>
      </c>
      <c r="T625" s="31">
        <v>17908.121638783105</v>
      </c>
      <c r="U625" s="31">
        <v>16635.15646787739</v>
      </c>
      <c r="V625" s="31">
        <v>14515.066067278858</v>
      </c>
      <c r="W625" s="31">
        <v>12746.934342928038</v>
      </c>
      <c r="X625" s="31">
        <v>11799.159317166523</v>
      </c>
    </row>
    <row r="628" spans="1:24">
      <c r="A628" s="1037" t="s">
        <v>680</v>
      </c>
    </row>
    <row r="629" spans="1:24">
      <c r="A629" s="261">
        <v>36396</v>
      </c>
    </row>
    <row r="630" spans="1:24">
      <c r="A630" s="254" t="s">
        <v>379</v>
      </c>
      <c r="B630" s="255">
        <v>44489.362820318842</v>
      </c>
      <c r="C630" s="256"/>
      <c r="D630" s="256"/>
      <c r="E630" s="256"/>
      <c r="F630" s="256"/>
      <c r="G630" s="256"/>
      <c r="H630" s="256"/>
      <c r="I630" s="256"/>
      <c r="J630" s="256"/>
      <c r="K630" s="256"/>
      <c r="L630" s="256"/>
      <c r="M630" s="256"/>
      <c r="N630" s="256"/>
      <c r="O630" s="256"/>
      <c r="P630" s="256"/>
      <c r="Q630" s="256"/>
      <c r="R630" s="256"/>
      <c r="S630" s="256"/>
      <c r="T630" s="256"/>
      <c r="U630" s="256"/>
      <c r="V630" s="256"/>
    </row>
    <row r="631" spans="1:24">
      <c r="A631" s="257" t="s">
        <v>380</v>
      </c>
      <c r="B631" s="258">
        <v>87974.304920028866</v>
      </c>
      <c r="C631" s="256"/>
      <c r="D631" s="256"/>
      <c r="E631" s="256"/>
      <c r="F631" s="256"/>
      <c r="G631" s="256"/>
      <c r="H631" s="256"/>
      <c r="I631" s="256"/>
      <c r="J631" s="256"/>
      <c r="K631" s="256"/>
      <c r="L631" s="256"/>
      <c r="M631" s="256"/>
      <c r="N631" s="256"/>
      <c r="O631" s="256"/>
      <c r="P631" s="256"/>
      <c r="Q631" s="256"/>
      <c r="R631" s="256"/>
      <c r="S631" s="256"/>
      <c r="T631" s="256"/>
      <c r="U631" s="256"/>
      <c r="V631" s="256"/>
    </row>
    <row r="632" spans="1:24">
      <c r="A632" s="259" t="s">
        <v>383</v>
      </c>
      <c r="B632" s="304" t="s">
        <v>483</v>
      </c>
      <c r="C632" s="304" t="s">
        <v>484</v>
      </c>
      <c r="D632" s="306">
        <v>2000</v>
      </c>
      <c r="E632" s="307">
        <v>2001</v>
      </c>
      <c r="F632" s="307">
        <v>2002</v>
      </c>
      <c r="G632" s="307">
        <v>2003</v>
      </c>
      <c r="H632" s="307">
        <v>2004</v>
      </c>
      <c r="I632" s="307">
        <v>2005</v>
      </c>
      <c r="J632" s="307">
        <v>2006</v>
      </c>
      <c r="K632" s="307">
        <v>2007</v>
      </c>
      <c r="L632" s="307">
        <v>2008</v>
      </c>
      <c r="M632" s="307">
        <v>2009</v>
      </c>
      <c r="N632" s="308">
        <v>2010</v>
      </c>
      <c r="O632" s="256">
        <v>2011</v>
      </c>
      <c r="P632" s="256">
        <v>2012</v>
      </c>
      <c r="Q632" s="256">
        <v>2013</v>
      </c>
      <c r="R632" s="256">
        <v>2014</v>
      </c>
      <c r="S632" s="256">
        <v>2015</v>
      </c>
      <c r="T632" s="256">
        <v>2016</v>
      </c>
      <c r="U632" s="256">
        <v>2017</v>
      </c>
      <c r="V632" s="256">
        <v>2018</v>
      </c>
      <c r="W632" s="256">
        <v>2019</v>
      </c>
      <c r="X632" s="256">
        <v>2020</v>
      </c>
    </row>
    <row r="633" spans="1:24">
      <c r="A633" s="259" t="s">
        <v>381</v>
      </c>
      <c r="B633" s="305">
        <f>NPV(0.1,D633:Y633)</f>
        <v>587133.4111321813</v>
      </c>
      <c r="C633" s="305">
        <f>B633-B622</f>
        <v>0</v>
      </c>
      <c r="D633" s="309">
        <v>41364.1276</v>
      </c>
      <c r="E633" s="310">
        <v>53599.168868000001</v>
      </c>
      <c r="F633" s="310">
        <v>53676.461374039995</v>
      </c>
      <c r="G633" s="310">
        <v>65143.101439719816</v>
      </c>
      <c r="H633" s="310">
        <v>73806.689285054352</v>
      </c>
      <c r="I633" s="310">
        <v>75317.217318825977</v>
      </c>
      <c r="J633" s="310">
        <v>75252.785341236653</v>
      </c>
      <c r="K633" s="310">
        <v>75972.254192721084</v>
      </c>
      <c r="L633" s="310">
        <v>76688.273847830875</v>
      </c>
      <c r="M633" s="310">
        <v>77399.989832817198</v>
      </c>
      <c r="N633" s="311">
        <v>78106.499509783054</v>
      </c>
      <c r="O633" s="31">
        <v>78806.849955860729</v>
      </c>
      <c r="P633" s="31">
        <v>79500.035758487647</v>
      </c>
      <c r="Q633" s="31">
        <v>80184.996723655335</v>
      </c>
      <c r="R633" s="31">
        <v>80860.615493893827</v>
      </c>
      <c r="S633" s="31">
        <v>81525.715072638748</v>
      </c>
      <c r="T633" s="31">
        <v>82179.056251507223</v>
      </c>
      <c r="U633" s="31">
        <v>82819.334936885876</v>
      </c>
      <c r="V633" s="31">
        <v>83445.179372104292</v>
      </c>
      <c r="W633" s="31">
        <v>82865.432394184551</v>
      </c>
      <c r="X633" s="31">
        <v>35526.302372602433</v>
      </c>
    </row>
    <row r="634" spans="1:24">
      <c r="A634" s="260" t="s">
        <v>382</v>
      </c>
      <c r="B634" s="305">
        <f>NPV(0.1,D634:Y634)</f>
        <v>254716.7095345112</v>
      </c>
      <c r="C634" s="305">
        <f>B634-B623</f>
        <v>-0.68191458602086641</v>
      </c>
      <c r="D634" s="309">
        <v>26188.662512002433</v>
      </c>
      <c r="E634" s="310">
        <v>27264.534785549142</v>
      </c>
      <c r="F634" s="310">
        <v>27415.149717472195</v>
      </c>
      <c r="G634" s="310">
        <v>28972.109488817121</v>
      </c>
      <c r="H634" s="310">
        <v>29949.53393720468</v>
      </c>
      <c r="I634" s="310">
        <v>30091.566011283678</v>
      </c>
      <c r="J634" s="310">
        <v>30280.184432438367</v>
      </c>
      <c r="K634" s="310">
        <v>30474.4614062277</v>
      </c>
      <c r="L634" s="310">
        <v>30674.566689230716</v>
      </c>
      <c r="M634" s="310">
        <v>30839.582524070101</v>
      </c>
      <c r="N634" s="311">
        <v>31051.874218807996</v>
      </c>
      <c r="O634" s="31">
        <v>31270.534664388029</v>
      </c>
      <c r="P634" s="31">
        <v>31495.754923335462</v>
      </c>
      <c r="Q634" s="31">
        <v>31686.639183397605</v>
      </c>
      <c r="R634" s="31">
        <v>31925.575356114936</v>
      </c>
      <c r="S634" s="31">
        <v>32171.679614013789</v>
      </c>
      <c r="T634" s="31">
        <v>32425.166999649606</v>
      </c>
      <c r="U634" s="31">
        <v>32645.166400200782</v>
      </c>
      <c r="V634" s="31">
        <v>32914.091167621824</v>
      </c>
      <c r="W634" s="31">
        <v>33191.083678065494</v>
      </c>
      <c r="X634" s="31">
        <v>16231.235034274057</v>
      </c>
    </row>
    <row r="635" spans="1:24">
      <c r="A635" s="260" t="s">
        <v>35</v>
      </c>
      <c r="B635" s="305">
        <f>NPV(0.1,D635:Y635)</f>
        <v>114610.46538711197</v>
      </c>
      <c r="C635" s="305">
        <f>B635-B624</f>
        <v>10.994415608845884</v>
      </c>
      <c r="D635" s="309">
        <v>-2281.8116028670092</v>
      </c>
      <c r="E635" s="310">
        <v>3295.4128426657903</v>
      </c>
      <c r="F635" s="310">
        <v>3550.8185820819144</v>
      </c>
      <c r="G635" s="310">
        <v>10028.808311937501</v>
      </c>
      <c r="H635" s="310">
        <v>15272.765557831268</v>
      </c>
      <c r="I635" s="310">
        <v>16528.002429350956</v>
      </c>
      <c r="J635" s="310">
        <v>16771.76104791362</v>
      </c>
      <c r="K635" s="310">
        <v>17487.388880220515</v>
      </c>
      <c r="L635" s="310">
        <v>18197.349347612711</v>
      </c>
      <c r="M635" s="310">
        <v>19174.617765984192</v>
      </c>
      <c r="N635" s="311">
        <v>20292.844288123153</v>
      </c>
      <c r="O635" s="31">
        <v>20782.163339902036</v>
      </c>
      <c r="P635" s="31">
        <v>21311.865585049327</v>
      </c>
      <c r="Q635" s="31">
        <v>21857.518397807598</v>
      </c>
      <c r="R635" s="31">
        <v>22368.110778800379</v>
      </c>
      <c r="S635" s="31">
        <v>22867.898504348806</v>
      </c>
      <c r="T635" s="31">
        <v>23355.993213819056</v>
      </c>
      <c r="U635" s="31">
        <v>24100.400649567055</v>
      </c>
      <c r="V635" s="31">
        <v>24903.637642314814</v>
      </c>
      <c r="W635" s="31">
        <v>25111.785917963989</v>
      </c>
      <c r="X635" s="31">
        <v>7409.3808922024791</v>
      </c>
    </row>
    <row r="636" spans="1:24">
      <c r="A636" s="260" t="s">
        <v>32</v>
      </c>
      <c r="B636" s="305">
        <f>NPV(0.1,D636:Y636)</f>
        <v>123283.80405356879</v>
      </c>
      <c r="C636" s="305">
        <f>B636-B625</f>
        <v>-14.609171527918079</v>
      </c>
      <c r="D636" s="312">
        <v>-6453.6073096214859</v>
      </c>
      <c r="E636" s="313">
        <v>5576.0476334814957</v>
      </c>
      <c r="F636" s="313">
        <v>3278.8744022748979</v>
      </c>
      <c r="G636" s="313">
        <v>11295.433275288982</v>
      </c>
      <c r="H636" s="313">
        <v>25404.09313969779</v>
      </c>
      <c r="I636" s="313">
        <v>22763.02088883346</v>
      </c>
      <c r="J636" s="313">
        <v>18435.638175325243</v>
      </c>
      <c r="K636" s="313">
        <v>19160.818080416317</v>
      </c>
      <c r="L636" s="313">
        <v>14420.226475024332</v>
      </c>
      <c r="M636" s="313">
        <v>11657.314359526274</v>
      </c>
      <c r="N636" s="314">
        <v>26409.581415534776</v>
      </c>
      <c r="O636" s="31">
        <v>25920.312540097832</v>
      </c>
      <c r="P636" s="31">
        <v>26440.462712460947</v>
      </c>
      <c r="Q636" s="31">
        <v>26954.57499134968</v>
      </c>
      <c r="R636" s="31">
        <v>27496.707906212003</v>
      </c>
      <c r="S636" s="31">
        <v>25178.634160427915</v>
      </c>
      <c r="T636" s="31">
        <v>17908.167398565656</v>
      </c>
      <c r="U636" s="31">
        <v>16635.202227659942</v>
      </c>
      <c r="V636" s="31">
        <v>14515.111827061417</v>
      </c>
      <c r="W636" s="31">
        <v>12746.98010271059</v>
      </c>
      <c r="X636" s="31">
        <v>11799.205076949082</v>
      </c>
    </row>
    <row r="639" spans="1:24">
      <c r="A639" s="1037" t="s">
        <v>681</v>
      </c>
    </row>
    <row r="640" spans="1:24">
      <c r="A640" s="261">
        <v>36403</v>
      </c>
    </row>
    <row r="641" spans="1:24">
      <c r="A641" s="254" t="s">
        <v>379</v>
      </c>
      <c r="B641" s="255">
        <v>44545.762518877331</v>
      </c>
      <c r="C641" s="256"/>
      <c r="D641" s="256"/>
      <c r="E641" s="256"/>
      <c r="F641" s="256"/>
      <c r="G641" s="256"/>
      <c r="H641" s="256"/>
      <c r="I641" s="256"/>
      <c r="J641" s="256"/>
      <c r="K641" s="256"/>
      <c r="L641" s="256"/>
      <c r="M641" s="256"/>
      <c r="N641" s="256"/>
      <c r="O641" s="256"/>
      <c r="P641" s="256"/>
      <c r="Q641" s="256"/>
      <c r="R641" s="256"/>
      <c r="S641" s="256"/>
      <c r="T641" s="256"/>
      <c r="U641" s="256"/>
      <c r="V641" s="256"/>
    </row>
    <row r="642" spans="1:24">
      <c r="A642" s="257" t="s">
        <v>380</v>
      </c>
      <c r="B642" s="258">
        <v>88041.504920028849</v>
      </c>
      <c r="C642" s="256"/>
      <c r="D642" s="256"/>
      <c r="E642" s="256"/>
      <c r="F642" s="256"/>
      <c r="G642" s="256"/>
      <c r="H642" s="256"/>
      <c r="I642" s="256"/>
      <c r="J642" s="256"/>
      <c r="K642" s="256"/>
      <c r="L642" s="256"/>
      <c r="M642" s="256"/>
      <c r="N642" s="256"/>
      <c r="O642" s="256"/>
      <c r="P642" s="256"/>
      <c r="Q642" s="256"/>
      <c r="R642" s="256"/>
      <c r="S642" s="256"/>
      <c r="T642" s="256"/>
      <c r="U642" s="256"/>
      <c r="V642" s="256"/>
    </row>
    <row r="643" spans="1:24">
      <c r="A643" s="259" t="s">
        <v>383</v>
      </c>
      <c r="B643" s="304" t="s">
        <v>483</v>
      </c>
      <c r="C643" s="304" t="s">
        <v>484</v>
      </c>
      <c r="D643" s="306">
        <v>2000</v>
      </c>
      <c r="E643" s="307">
        <v>2001</v>
      </c>
      <c r="F643" s="307">
        <v>2002</v>
      </c>
      <c r="G643" s="307">
        <v>2003</v>
      </c>
      <c r="H643" s="307">
        <v>2004</v>
      </c>
      <c r="I643" s="307">
        <v>2005</v>
      </c>
      <c r="J643" s="307">
        <v>2006</v>
      </c>
      <c r="K643" s="307">
        <v>2007</v>
      </c>
      <c r="L643" s="307">
        <v>2008</v>
      </c>
      <c r="M643" s="307">
        <v>2009</v>
      </c>
      <c r="N643" s="308">
        <v>2010</v>
      </c>
      <c r="O643" s="256">
        <v>2011</v>
      </c>
      <c r="P643" s="256">
        <v>2012</v>
      </c>
      <c r="Q643" s="256">
        <v>2013</v>
      </c>
      <c r="R643" s="256">
        <v>2014</v>
      </c>
      <c r="S643" s="256">
        <v>2015</v>
      </c>
      <c r="T643" s="256">
        <v>2016</v>
      </c>
      <c r="U643" s="256">
        <v>2017</v>
      </c>
      <c r="V643" s="256">
        <v>2018</v>
      </c>
      <c r="W643" s="256">
        <v>2019</v>
      </c>
      <c r="X643" s="256">
        <v>2020</v>
      </c>
    </row>
    <row r="644" spans="1:24">
      <c r="A644" s="259" t="s">
        <v>381</v>
      </c>
      <c r="B644" s="305">
        <f>NPV(0.1,D644:Y644)</f>
        <v>587133.4111321813</v>
      </c>
      <c r="C644" s="305">
        <f>B644-B633</f>
        <v>0</v>
      </c>
      <c r="D644" s="309">
        <v>41364.1276</v>
      </c>
      <c r="E644" s="310">
        <v>53599.168868000001</v>
      </c>
      <c r="F644" s="310">
        <v>53676.461374039995</v>
      </c>
      <c r="G644" s="310">
        <v>65143.101439719816</v>
      </c>
      <c r="H644" s="310">
        <v>73806.689285054352</v>
      </c>
      <c r="I644" s="310">
        <v>75317.217318825977</v>
      </c>
      <c r="J644" s="310">
        <v>75252.785341236653</v>
      </c>
      <c r="K644" s="310">
        <v>75972.254192721084</v>
      </c>
      <c r="L644" s="310">
        <v>76688.273847830875</v>
      </c>
      <c r="M644" s="310">
        <v>77399.989832817198</v>
      </c>
      <c r="N644" s="311">
        <v>78106.499509783054</v>
      </c>
      <c r="O644" s="31">
        <v>78806.849955860729</v>
      </c>
      <c r="P644" s="31">
        <v>79500.035758487647</v>
      </c>
      <c r="Q644" s="31">
        <v>80184.996723655335</v>
      </c>
      <c r="R644" s="31">
        <v>80860.615493893827</v>
      </c>
      <c r="S644" s="31">
        <v>81525.715072638748</v>
      </c>
      <c r="T644" s="31">
        <v>82179.056251507223</v>
      </c>
      <c r="U644" s="31">
        <v>82819.334936885876</v>
      </c>
      <c r="V644" s="31">
        <v>83445.179372104292</v>
      </c>
      <c r="W644" s="31">
        <v>82865.432394184551</v>
      </c>
      <c r="X644" s="31">
        <v>35526.302372602433</v>
      </c>
    </row>
    <row r="645" spans="1:24">
      <c r="A645" s="260" t="s">
        <v>382</v>
      </c>
      <c r="B645" s="305">
        <f>NPV(0.1,D645:Y645)</f>
        <v>254716.7095345112</v>
      </c>
      <c r="C645" s="305">
        <f>B645-B634</f>
        <v>0</v>
      </c>
      <c r="D645" s="309">
        <v>26188.662512002433</v>
      </c>
      <c r="E645" s="310">
        <v>27264.534785549142</v>
      </c>
      <c r="F645" s="310">
        <v>27415.149717472195</v>
      </c>
      <c r="G645" s="310">
        <v>28972.109488817121</v>
      </c>
      <c r="H645" s="310">
        <v>29949.53393720468</v>
      </c>
      <c r="I645" s="310">
        <v>30091.566011283678</v>
      </c>
      <c r="J645" s="310">
        <v>30280.184432438367</v>
      </c>
      <c r="K645" s="310">
        <v>30474.4614062277</v>
      </c>
      <c r="L645" s="310">
        <v>30674.566689230716</v>
      </c>
      <c r="M645" s="310">
        <v>30839.582524070101</v>
      </c>
      <c r="N645" s="311">
        <v>31051.874218807996</v>
      </c>
      <c r="O645" s="31">
        <v>31270.534664388029</v>
      </c>
      <c r="P645" s="31">
        <v>31495.754923335462</v>
      </c>
      <c r="Q645" s="31">
        <v>31686.639183397605</v>
      </c>
      <c r="R645" s="31">
        <v>31925.575356114936</v>
      </c>
      <c r="S645" s="31">
        <v>32171.679614013789</v>
      </c>
      <c r="T645" s="31">
        <v>32425.166999649606</v>
      </c>
      <c r="U645" s="31">
        <v>32645.166400200782</v>
      </c>
      <c r="V645" s="31">
        <v>32914.091167621824</v>
      </c>
      <c r="W645" s="31">
        <v>33191.083678065494</v>
      </c>
      <c r="X645" s="31">
        <v>16231.235034274057</v>
      </c>
    </row>
    <row r="646" spans="1:24">
      <c r="A646" s="260" t="s">
        <v>35</v>
      </c>
      <c r="B646" s="305">
        <f>NPV(0.1,D646:Y646)</f>
        <v>114620.52418410513</v>
      </c>
      <c r="C646" s="305">
        <f>B646-B635</f>
        <v>10.058796993165743</v>
      </c>
      <c r="D646" s="309">
        <v>-2281.1020867870097</v>
      </c>
      <c r="E646" s="310">
        <v>3296.6291559457877</v>
      </c>
      <c r="F646" s="310">
        <v>3552.0348953619123</v>
      </c>
      <c r="G646" s="310">
        <v>10030.024625217498</v>
      </c>
      <c r="H646" s="310">
        <v>15273.981871111266</v>
      </c>
      <c r="I646" s="310">
        <v>16529.218742630961</v>
      </c>
      <c r="J646" s="310">
        <v>16772.977361193625</v>
      </c>
      <c r="K646" s="310">
        <v>17488.605193500516</v>
      </c>
      <c r="L646" s="310">
        <v>18198.565660892709</v>
      </c>
      <c r="M646" s="310">
        <v>19175.834079264197</v>
      </c>
      <c r="N646" s="311">
        <v>20294.060601403155</v>
      </c>
      <c r="O646" s="31">
        <v>20783.379653182034</v>
      </c>
      <c r="P646" s="31">
        <v>21313.081898329328</v>
      </c>
      <c r="Q646" s="31">
        <v>21858.7347110876</v>
      </c>
      <c r="R646" s="31">
        <v>22369.327092080381</v>
      </c>
      <c r="S646" s="31">
        <v>22869.114817628812</v>
      </c>
      <c r="T646" s="31">
        <v>23357.209527099061</v>
      </c>
      <c r="U646" s="31">
        <v>24101.616962847052</v>
      </c>
      <c r="V646" s="31">
        <v>24904.853955594815</v>
      </c>
      <c r="W646" s="31">
        <v>25113.002231243991</v>
      </c>
      <c r="X646" s="31">
        <v>7410.5972054824788</v>
      </c>
    </row>
    <row r="647" spans="1:24">
      <c r="A647" s="260" t="s">
        <v>32</v>
      </c>
      <c r="B647" s="305">
        <f>NPV(0.1,D647:Y647)</f>
        <v>123271.90945270404</v>
      </c>
      <c r="C647" s="305">
        <f>B647-B636</f>
        <v>-11.89460086474719</v>
      </c>
      <c r="D647" s="312">
        <v>-6453.6073096214859</v>
      </c>
      <c r="E647" s="313">
        <v>5576.0476334814921</v>
      </c>
      <c r="F647" s="313">
        <v>3278.8744022748979</v>
      </c>
      <c r="G647" s="313">
        <v>11295.433275288975</v>
      </c>
      <c r="H647" s="313">
        <v>25404.09313969779</v>
      </c>
      <c r="I647" s="313">
        <v>22751.316140875068</v>
      </c>
      <c r="J647" s="313">
        <v>18434.065458109246</v>
      </c>
      <c r="K647" s="313">
        <v>19159.242697577916</v>
      </c>
      <c r="L647" s="313">
        <v>14418.653757808333</v>
      </c>
      <c r="M647" s="313">
        <v>11655.738976687873</v>
      </c>
      <c r="N647" s="314">
        <v>26408.008698318776</v>
      </c>
      <c r="O647" s="31">
        <v>25918.737157259431</v>
      </c>
      <c r="P647" s="31">
        <v>26438.889995244943</v>
      </c>
      <c r="Q647" s="31">
        <v>26952.99960851128</v>
      </c>
      <c r="R647" s="31">
        <v>27495.135188996002</v>
      </c>
      <c r="S647" s="31">
        <v>25177.847801819917</v>
      </c>
      <c r="T647" s="31">
        <v>17908.167398565656</v>
      </c>
      <c r="U647" s="31">
        <v>16635.202227659942</v>
      </c>
      <c r="V647" s="31">
        <v>14515.111827061417</v>
      </c>
      <c r="W647" s="31">
        <v>12746.98010271059</v>
      </c>
      <c r="X647" s="31">
        <v>11799.205076949082</v>
      </c>
    </row>
    <row r="650" spans="1:24">
      <c r="A650" s="1037">
        <v>63</v>
      </c>
    </row>
    <row r="651" spans="1:24">
      <c r="A651" s="261">
        <v>36412</v>
      </c>
    </row>
    <row r="652" spans="1:24">
      <c r="A652" s="254" t="s">
        <v>379</v>
      </c>
      <c r="B652" s="255">
        <v>44604.796006450597</v>
      </c>
      <c r="C652" s="256"/>
      <c r="D652" s="256"/>
      <c r="E652" s="256"/>
      <c r="F652" s="256"/>
      <c r="G652" s="256"/>
      <c r="H652" s="256"/>
      <c r="I652" s="256"/>
      <c r="J652" s="256"/>
      <c r="K652" s="256"/>
      <c r="L652" s="256"/>
      <c r="M652" s="256"/>
      <c r="N652" s="256"/>
      <c r="O652" s="256"/>
      <c r="P652" s="256"/>
      <c r="Q652" s="256"/>
      <c r="R652" s="256"/>
      <c r="S652" s="256"/>
      <c r="T652" s="256"/>
      <c r="U652" s="256"/>
      <c r="V652" s="256"/>
    </row>
    <row r="653" spans="1:24">
      <c r="A653" s="257" t="s">
        <v>380</v>
      </c>
      <c r="B653" s="258">
        <v>88111.960943210477</v>
      </c>
      <c r="C653" s="256"/>
      <c r="D653" s="256"/>
      <c r="E653" s="256"/>
      <c r="F653" s="256"/>
      <c r="G653" s="256"/>
      <c r="H653" s="256"/>
      <c r="I653" s="256"/>
      <c r="J653" s="256"/>
      <c r="K653" s="256"/>
      <c r="L653" s="256"/>
      <c r="M653" s="256"/>
      <c r="N653" s="256"/>
      <c r="O653" s="256"/>
      <c r="P653" s="256"/>
      <c r="Q653" s="256"/>
      <c r="R653" s="256"/>
      <c r="S653" s="256"/>
      <c r="T653" s="256"/>
      <c r="U653" s="256"/>
      <c r="V653" s="256"/>
    </row>
    <row r="654" spans="1:24">
      <c r="A654" s="259" t="s">
        <v>383</v>
      </c>
      <c r="B654" s="304" t="s">
        <v>483</v>
      </c>
      <c r="C654" s="304" t="s">
        <v>484</v>
      </c>
      <c r="D654" s="306">
        <v>2000</v>
      </c>
      <c r="E654" s="307">
        <v>2001</v>
      </c>
      <c r="F654" s="307">
        <v>2002</v>
      </c>
      <c r="G654" s="307">
        <v>2003</v>
      </c>
      <c r="H654" s="307">
        <v>2004</v>
      </c>
      <c r="I654" s="307">
        <v>2005</v>
      </c>
      <c r="J654" s="307">
        <v>2006</v>
      </c>
      <c r="K654" s="307">
        <v>2007</v>
      </c>
      <c r="L654" s="307">
        <v>2008</v>
      </c>
      <c r="M654" s="307">
        <v>2009</v>
      </c>
      <c r="N654" s="308">
        <v>2010</v>
      </c>
      <c r="O654" s="256">
        <v>2011</v>
      </c>
      <c r="P654" s="256">
        <v>2012</v>
      </c>
      <c r="Q654" s="256">
        <v>2013</v>
      </c>
      <c r="R654" s="256">
        <v>2014</v>
      </c>
      <c r="S654" s="256">
        <v>2015</v>
      </c>
      <c r="T654" s="256">
        <v>2016</v>
      </c>
      <c r="U654" s="256">
        <v>2017</v>
      </c>
      <c r="V654" s="256">
        <v>2018</v>
      </c>
      <c r="W654" s="256">
        <v>2019</v>
      </c>
      <c r="X654" s="256">
        <v>2020</v>
      </c>
    </row>
    <row r="655" spans="1:24">
      <c r="A655" s="259" t="s">
        <v>381</v>
      </c>
      <c r="B655" s="305">
        <f>NPV(0.1,D655:Y655)</f>
        <v>587133.4111321813</v>
      </c>
      <c r="C655" s="305">
        <f>B655-B644</f>
        <v>0</v>
      </c>
      <c r="D655" s="309">
        <v>41364.1276</v>
      </c>
      <c r="E655" s="310">
        <v>53599.168868000001</v>
      </c>
      <c r="F655" s="310">
        <v>53676.461374039995</v>
      </c>
      <c r="G655" s="310">
        <v>65143.101439719816</v>
      </c>
      <c r="H655" s="310">
        <v>73806.689285054352</v>
      </c>
      <c r="I655" s="310">
        <v>75317.217318825977</v>
      </c>
      <c r="J655" s="310">
        <v>75252.785341236653</v>
      </c>
      <c r="K655" s="310">
        <v>75972.254192721084</v>
      </c>
      <c r="L655" s="310">
        <v>76688.273847830875</v>
      </c>
      <c r="M655" s="310">
        <v>77399.989832817198</v>
      </c>
      <c r="N655" s="311">
        <v>78106.499509783054</v>
      </c>
      <c r="O655" s="31">
        <v>78806.849955860729</v>
      </c>
      <c r="P655" s="31">
        <v>79500.035758487647</v>
      </c>
      <c r="Q655" s="31">
        <v>80184.996723655335</v>
      </c>
      <c r="R655" s="31">
        <v>80860.615493893827</v>
      </c>
      <c r="S655" s="31">
        <v>81525.715072638748</v>
      </c>
      <c r="T655" s="31">
        <v>82179.056251507223</v>
      </c>
      <c r="U655" s="31">
        <v>82819.334936885876</v>
      </c>
      <c r="V655" s="31">
        <v>83445.179372104292</v>
      </c>
      <c r="W655" s="31">
        <v>82865.432394184551</v>
      </c>
      <c r="X655" s="31">
        <v>35526.302372602433</v>
      </c>
    </row>
    <row r="656" spans="1:24">
      <c r="A656" s="260" t="s">
        <v>382</v>
      </c>
      <c r="B656" s="305">
        <f>NPV(0.1,D656:Y656)</f>
        <v>254716.09779680028</v>
      </c>
      <c r="C656" s="305">
        <f>B656-B645</f>
        <v>-0.61173771091853268</v>
      </c>
      <c r="D656" s="309">
        <v>26188.561712002433</v>
      </c>
      <c r="E656" s="310">
        <v>27264.46758554914</v>
      </c>
      <c r="F656" s="310">
        <v>27415.082517472194</v>
      </c>
      <c r="G656" s="310">
        <v>28972.04228881712</v>
      </c>
      <c r="H656" s="310">
        <v>29949.466737204679</v>
      </c>
      <c r="I656" s="310">
        <v>30091.498811283676</v>
      </c>
      <c r="J656" s="310">
        <v>30280.117232438366</v>
      </c>
      <c r="K656" s="310">
        <v>30474.394206227698</v>
      </c>
      <c r="L656" s="310">
        <v>30674.499489230715</v>
      </c>
      <c r="M656" s="310">
        <v>30839.5153240701</v>
      </c>
      <c r="N656" s="311">
        <v>31051.807018807995</v>
      </c>
      <c r="O656" s="31">
        <v>31270.467464388028</v>
      </c>
      <c r="P656" s="31">
        <v>31495.687723335461</v>
      </c>
      <c r="Q656" s="31">
        <v>31686.571983397604</v>
      </c>
      <c r="R656" s="31">
        <v>31925.508156114935</v>
      </c>
      <c r="S656" s="31">
        <v>32171.612414013787</v>
      </c>
      <c r="T656" s="31">
        <v>32425.099799649604</v>
      </c>
      <c r="U656" s="31">
        <v>32645.099200200781</v>
      </c>
      <c r="V656" s="31">
        <v>32914.023967621826</v>
      </c>
      <c r="W656" s="31">
        <v>33191.016478065496</v>
      </c>
      <c r="X656" s="31">
        <v>16231.167834274058</v>
      </c>
    </row>
    <row r="657" spans="1:24">
      <c r="A657" s="260" t="s">
        <v>35</v>
      </c>
      <c r="B657" s="305">
        <f>NPV(0.1,D657:Y657)</f>
        <v>114631.35857713412</v>
      </c>
      <c r="C657" s="305">
        <f>B657-B646</f>
        <v>10.834393028984778</v>
      </c>
      <c r="D657" s="309">
        <v>-2280.3026458788345</v>
      </c>
      <c r="E657" s="310">
        <v>3297.9351180304902</v>
      </c>
      <c r="F657" s="310">
        <v>3553.3408574466134</v>
      </c>
      <c r="G657" s="310">
        <v>10031.330587302204</v>
      </c>
      <c r="H657" s="310">
        <v>15275.287833195966</v>
      </c>
      <c r="I657" s="310">
        <v>16530.524704715663</v>
      </c>
      <c r="J657" s="310">
        <v>16774.283323278327</v>
      </c>
      <c r="K657" s="310">
        <v>17489.911155585214</v>
      </c>
      <c r="L657" s="310">
        <v>18199.871622977415</v>
      </c>
      <c r="M657" s="310">
        <v>19177.140041348895</v>
      </c>
      <c r="N657" s="311">
        <v>20295.366563487849</v>
      </c>
      <c r="O657" s="31">
        <v>20784.685615266739</v>
      </c>
      <c r="P657" s="31">
        <v>21314.387860414034</v>
      </c>
      <c r="Q657" s="31">
        <v>21860.040673172305</v>
      </c>
      <c r="R657" s="31">
        <v>22370.633054165071</v>
      </c>
      <c r="S657" s="31">
        <v>22870.420779713513</v>
      </c>
      <c r="T657" s="31">
        <v>23358.515489183766</v>
      </c>
      <c r="U657" s="31">
        <v>24102.922924931758</v>
      </c>
      <c r="V657" s="31">
        <v>24906.159917679513</v>
      </c>
      <c r="W657" s="31">
        <v>25114.308193328689</v>
      </c>
      <c r="X657" s="31">
        <v>7411.9031675671804</v>
      </c>
    </row>
    <row r="658" spans="1:24">
      <c r="A658" s="260" t="s">
        <v>32</v>
      </c>
      <c r="B658" s="305">
        <f>NPV(0.1,D658:Y658)</f>
        <v>123259.94407955352</v>
      </c>
      <c r="C658" s="305">
        <f>B658-B647</f>
        <v>-11.965373150524101</v>
      </c>
      <c r="D658" s="312">
        <v>-6453.5052496214867</v>
      </c>
      <c r="E658" s="313">
        <v>5576.1156734814977</v>
      </c>
      <c r="F658" s="313">
        <v>3278.9424422748962</v>
      </c>
      <c r="G658" s="313">
        <v>11295.501315288988</v>
      </c>
      <c r="H658" s="313">
        <v>25404.161179697789</v>
      </c>
      <c r="I658" s="313">
        <v>22739.036334257515</v>
      </c>
      <c r="J658" s="313">
        <v>18432.470952988402</v>
      </c>
      <c r="K658" s="313">
        <v>19157.645420328769</v>
      </c>
      <c r="L658" s="313">
        <v>14417.059252687486</v>
      </c>
      <c r="M658" s="313">
        <v>11654.141699438725</v>
      </c>
      <c r="N658" s="314">
        <v>26406.414193197921</v>
      </c>
      <c r="O658" s="31">
        <v>25917.139880010294</v>
      </c>
      <c r="P658" s="31">
        <v>26437.295490124106</v>
      </c>
      <c r="Q658" s="31">
        <v>26951.402331262143</v>
      </c>
      <c r="R658" s="31">
        <v>27493.540683875144</v>
      </c>
      <c r="S658" s="31">
        <v>25177.0710745461</v>
      </c>
      <c r="T658" s="31">
        <v>17908.20844913886</v>
      </c>
      <c r="U658" s="31">
        <v>16635.243278233142</v>
      </c>
      <c r="V658" s="31">
        <v>14515.152877634617</v>
      </c>
      <c r="W658" s="31">
        <v>12747.021153283786</v>
      </c>
      <c r="X658" s="31">
        <v>11799.246127522281</v>
      </c>
    </row>
    <row r="661" spans="1:24">
      <c r="A661" s="1037" t="s">
        <v>682</v>
      </c>
    </row>
    <row r="662" spans="1:24">
      <c r="A662" s="261">
        <v>36419</v>
      </c>
    </row>
    <row r="663" spans="1:24">
      <c r="A663" s="254" t="s">
        <v>379</v>
      </c>
      <c r="B663" s="255">
        <v>44742.270386933647</v>
      </c>
      <c r="C663" s="256"/>
      <c r="D663" s="256"/>
      <c r="E663" s="256"/>
      <c r="F663" s="256"/>
      <c r="G663" s="256"/>
      <c r="H663" s="256"/>
      <c r="I663" s="256"/>
      <c r="J663" s="256"/>
      <c r="K663" s="256"/>
      <c r="L663" s="256"/>
      <c r="M663" s="256"/>
      <c r="N663" s="256"/>
      <c r="O663" s="256"/>
      <c r="P663" s="256"/>
      <c r="Q663" s="256"/>
      <c r="R663" s="256"/>
      <c r="S663" s="256"/>
      <c r="T663" s="256"/>
      <c r="U663" s="256"/>
      <c r="V663" s="256"/>
    </row>
    <row r="664" spans="1:24">
      <c r="A664" s="257" t="s">
        <v>380</v>
      </c>
      <c r="B664" s="258">
        <v>88276.073553697584</v>
      </c>
      <c r="C664" s="256"/>
      <c r="D664" s="256"/>
      <c r="E664" s="256"/>
      <c r="F664" s="256"/>
      <c r="G664" s="256"/>
      <c r="H664" s="256"/>
      <c r="I664" s="256"/>
      <c r="J664" s="256"/>
      <c r="K664" s="256"/>
      <c r="L664" s="256"/>
      <c r="M664" s="256"/>
      <c r="N664" s="256"/>
      <c r="O664" s="256"/>
      <c r="P664" s="256"/>
      <c r="Q664" s="256"/>
      <c r="R664" s="256"/>
      <c r="S664" s="256"/>
      <c r="T664" s="256"/>
      <c r="U664" s="256"/>
      <c r="V664" s="256"/>
    </row>
    <row r="665" spans="1:24">
      <c r="A665" s="259" t="s">
        <v>383</v>
      </c>
      <c r="B665" s="304" t="s">
        <v>483</v>
      </c>
      <c r="C665" s="304" t="s">
        <v>484</v>
      </c>
      <c r="D665" s="306">
        <v>2000</v>
      </c>
      <c r="E665" s="307">
        <v>2001</v>
      </c>
      <c r="F665" s="307">
        <v>2002</v>
      </c>
      <c r="G665" s="307">
        <v>2003</v>
      </c>
      <c r="H665" s="307">
        <v>2004</v>
      </c>
      <c r="I665" s="307">
        <v>2005</v>
      </c>
      <c r="J665" s="307">
        <v>2006</v>
      </c>
      <c r="K665" s="307">
        <v>2007</v>
      </c>
      <c r="L665" s="307">
        <v>2008</v>
      </c>
      <c r="M665" s="307">
        <v>2009</v>
      </c>
      <c r="N665" s="308">
        <v>2010</v>
      </c>
      <c r="O665" s="256">
        <v>2011</v>
      </c>
      <c r="P665" s="256">
        <v>2012</v>
      </c>
      <c r="Q665" s="256">
        <v>2013</v>
      </c>
      <c r="R665" s="256">
        <v>2014</v>
      </c>
      <c r="S665" s="256">
        <v>2015</v>
      </c>
      <c r="T665" s="256">
        <v>2016</v>
      </c>
      <c r="U665" s="256">
        <v>2017</v>
      </c>
      <c r="V665" s="256">
        <v>2018</v>
      </c>
      <c r="W665" s="256">
        <v>2019</v>
      </c>
      <c r="X665" s="256">
        <v>2020</v>
      </c>
    </row>
    <row r="666" spans="1:24">
      <c r="A666" s="259" t="s">
        <v>381</v>
      </c>
      <c r="B666" s="305">
        <f>NPV(0.1,D666:Y666)</f>
        <v>587133.4111321813</v>
      </c>
      <c r="C666" s="305">
        <f>B666-B655</f>
        <v>0</v>
      </c>
      <c r="D666" s="309">
        <v>41364.1276</v>
      </c>
      <c r="E666" s="310">
        <v>53599.168868000001</v>
      </c>
      <c r="F666" s="310">
        <v>53676.461374039995</v>
      </c>
      <c r="G666" s="310">
        <v>65143.101439719816</v>
      </c>
      <c r="H666" s="310">
        <v>73806.689285054352</v>
      </c>
      <c r="I666" s="310">
        <v>75317.217318825977</v>
      </c>
      <c r="J666" s="310">
        <v>75252.785341236653</v>
      </c>
      <c r="K666" s="310">
        <v>75972.254192721084</v>
      </c>
      <c r="L666" s="310">
        <v>76688.273847830875</v>
      </c>
      <c r="M666" s="310">
        <v>77399.989832817198</v>
      </c>
      <c r="N666" s="311">
        <v>78106.499509783054</v>
      </c>
      <c r="O666" s="31">
        <v>78806.849955860729</v>
      </c>
      <c r="P666" s="31">
        <v>79500.035758487647</v>
      </c>
      <c r="Q666" s="31">
        <v>80184.996723655335</v>
      </c>
      <c r="R666" s="31">
        <v>80860.615493893827</v>
      </c>
      <c r="S666" s="31">
        <v>81525.715072638748</v>
      </c>
      <c r="T666" s="31">
        <v>82179.056251507223</v>
      </c>
      <c r="U666" s="31">
        <v>82819.334936885876</v>
      </c>
      <c r="V666" s="31">
        <v>83445.179372104292</v>
      </c>
      <c r="W666" s="31">
        <v>82865.432394184551</v>
      </c>
      <c r="X666" s="31">
        <v>35526.302372602433</v>
      </c>
    </row>
    <row r="667" spans="1:24">
      <c r="A667" s="260" t="s">
        <v>382</v>
      </c>
      <c r="B667" s="305">
        <f>NPV(0.1,D667:Y667)</f>
        <v>254713.98560849513</v>
      </c>
      <c r="C667" s="305">
        <f>B667-B656</f>
        <v>-2.112188305152813</v>
      </c>
      <c r="D667" s="309">
        <v>26188.213673002432</v>
      </c>
      <c r="E667" s="310">
        <v>27264.235559549139</v>
      </c>
      <c r="F667" s="310">
        <v>27414.850491472193</v>
      </c>
      <c r="G667" s="310">
        <v>28971.810262817118</v>
      </c>
      <c r="H667" s="310">
        <v>29949.234711204677</v>
      </c>
      <c r="I667" s="310">
        <v>30091.266785283675</v>
      </c>
      <c r="J667" s="310">
        <v>30279.885206438365</v>
      </c>
      <c r="K667" s="310">
        <v>30474.162180227697</v>
      </c>
      <c r="L667" s="310">
        <v>30674.267463230713</v>
      </c>
      <c r="M667" s="310">
        <v>30839.283298070099</v>
      </c>
      <c r="N667" s="311">
        <v>31051.574992807993</v>
      </c>
      <c r="O667" s="31">
        <v>31270.235438388027</v>
      </c>
      <c r="P667" s="31">
        <v>31495.455697335459</v>
      </c>
      <c r="Q667" s="31">
        <v>31686.339957397602</v>
      </c>
      <c r="R667" s="31">
        <v>31925.276130114933</v>
      </c>
      <c r="S667" s="31">
        <v>32171.380388013786</v>
      </c>
      <c r="T667" s="31">
        <v>32424.867773649603</v>
      </c>
      <c r="U667" s="31">
        <v>32644.867174200779</v>
      </c>
      <c r="V667" s="31">
        <v>32913.791941621828</v>
      </c>
      <c r="W667" s="31">
        <v>33190.784452065498</v>
      </c>
      <c r="X667" s="31">
        <v>16230.935808274058</v>
      </c>
    </row>
    <row r="668" spans="1:24">
      <c r="A668" s="260" t="s">
        <v>35</v>
      </c>
      <c r="B668" s="305">
        <f>NPV(0.1,D668:Y668)</f>
        <v>114656.45709525023</v>
      </c>
      <c r="C668" s="305">
        <f>B668-B657</f>
        <v>25.098518116108608</v>
      </c>
      <c r="D668" s="309">
        <v>-2278.4732395203155</v>
      </c>
      <c r="E668" s="310">
        <v>3300.8485119170527</v>
      </c>
      <c r="F668" s="310">
        <v>3556.2542513331764</v>
      </c>
      <c r="G668" s="310">
        <v>10034.243981188763</v>
      </c>
      <c r="H668" s="310">
        <v>15278.201227082534</v>
      </c>
      <c r="I668" s="310">
        <v>16533.550016317222</v>
      </c>
      <c r="J668" s="310">
        <v>16777.388576104888</v>
      </c>
      <c r="K668" s="310">
        <v>17493.016408411779</v>
      </c>
      <c r="L668" s="310">
        <v>18202.976875803972</v>
      </c>
      <c r="M668" s="310">
        <v>19180.24529417546</v>
      </c>
      <c r="N668" s="311">
        <v>20298.471816314417</v>
      </c>
      <c r="O668" s="31">
        <v>20787.7908680933</v>
      </c>
      <c r="P668" s="31">
        <v>21317.493113240591</v>
      </c>
      <c r="Q668" s="31">
        <v>21863.145925998862</v>
      </c>
      <c r="R668" s="31">
        <v>22373.73830699164</v>
      </c>
      <c r="S668" s="31">
        <v>22873.526032540074</v>
      </c>
      <c r="T668" s="31">
        <v>23361.620742010316</v>
      </c>
      <c r="U668" s="31">
        <v>24106.028177758319</v>
      </c>
      <c r="V668" s="31">
        <v>24909.265170506074</v>
      </c>
      <c r="W668" s="31">
        <v>25117.413446155249</v>
      </c>
      <c r="X668" s="31">
        <v>7415.0084203937413</v>
      </c>
    </row>
    <row r="669" spans="1:24">
      <c r="A669" s="260" t="s">
        <v>32</v>
      </c>
      <c r="B669" s="305">
        <f>NPV(0.1,D669:Y669)</f>
        <v>123232.71579794865</v>
      </c>
      <c r="C669" s="305">
        <f>B669-B658</f>
        <v>-27.228281604868243</v>
      </c>
      <c r="D669" s="312">
        <v>-6453.1528601339869</v>
      </c>
      <c r="E669" s="313">
        <v>5576.3505998064975</v>
      </c>
      <c r="F669" s="313">
        <v>3279.1773685998996</v>
      </c>
      <c r="G669" s="313">
        <v>11295.73624161398</v>
      </c>
      <c r="H669" s="313">
        <v>25404.396106022796</v>
      </c>
      <c r="I669" s="313">
        <v>22710.777937537216</v>
      </c>
      <c r="J669" s="313">
        <v>18428.780807717627</v>
      </c>
      <c r="K669" s="313">
        <v>19153.948780340426</v>
      </c>
      <c r="L669" s="313">
        <v>14413.369107416711</v>
      </c>
      <c r="M669" s="313">
        <v>11650.445059450381</v>
      </c>
      <c r="N669" s="314">
        <v>26402.72404792716</v>
      </c>
      <c r="O669" s="31">
        <v>25913.443240021945</v>
      </c>
      <c r="P669" s="31">
        <v>26433.605344853328</v>
      </c>
      <c r="Q669" s="31">
        <v>26947.705691273793</v>
      </c>
      <c r="R669" s="31">
        <v>27489.850538604376</v>
      </c>
      <c r="S669" s="31">
        <v>25175.296870960541</v>
      </c>
      <c r="T669" s="31">
        <v>17908.35018723852</v>
      </c>
      <c r="U669" s="31">
        <v>16635.385016332806</v>
      </c>
      <c r="V669" s="31">
        <v>14515.294615734278</v>
      </c>
      <c r="W669" s="31">
        <v>12747.162891383454</v>
      </c>
      <c r="X669" s="31">
        <v>11799.387865621942</v>
      </c>
    </row>
    <row r="672" spans="1:24">
      <c r="A672" s="1037" t="s">
        <v>683</v>
      </c>
    </row>
    <row r="673" spans="1:24">
      <c r="A673" s="261">
        <v>36427</v>
      </c>
    </row>
    <row r="674" spans="1:24">
      <c r="A674" s="254" t="s">
        <v>379</v>
      </c>
      <c r="B674" s="255">
        <v>44745.100071231987</v>
      </c>
      <c r="C674" s="256"/>
      <c r="D674" s="256"/>
      <c r="E674" s="256"/>
      <c r="F674" s="256"/>
      <c r="G674" s="256"/>
      <c r="H674" s="256"/>
      <c r="I674" s="256"/>
      <c r="J674" s="256"/>
      <c r="K674" s="256"/>
      <c r="L674" s="256"/>
      <c r="M674" s="256"/>
      <c r="N674" s="256"/>
      <c r="O674" s="256"/>
      <c r="P674" s="256"/>
      <c r="Q674" s="256"/>
      <c r="R674" s="256"/>
      <c r="S674" s="256"/>
      <c r="T674" s="256"/>
      <c r="U674" s="256"/>
      <c r="V674" s="256"/>
    </row>
    <row r="675" spans="1:24">
      <c r="A675" s="257" t="s">
        <v>380</v>
      </c>
      <c r="B675" s="258">
        <v>88279.338922482624</v>
      </c>
      <c r="C675" s="256"/>
      <c r="D675" s="256"/>
      <c r="E675" s="256"/>
      <c r="F675" s="256"/>
      <c r="G675" s="256"/>
      <c r="H675" s="256"/>
      <c r="I675" s="256"/>
      <c r="J675" s="256"/>
      <c r="K675" s="256"/>
      <c r="L675" s="256"/>
      <c r="M675" s="256"/>
      <c r="N675" s="256"/>
      <c r="O675" s="256"/>
      <c r="P675" s="256"/>
      <c r="Q675" s="256"/>
      <c r="R675" s="256"/>
      <c r="S675" s="256"/>
      <c r="T675" s="256"/>
      <c r="U675" s="256"/>
      <c r="V675" s="256"/>
    </row>
    <row r="676" spans="1:24">
      <c r="A676" s="259" t="s">
        <v>383</v>
      </c>
      <c r="B676" s="304" t="s">
        <v>483</v>
      </c>
      <c r="C676" s="304" t="s">
        <v>484</v>
      </c>
      <c r="D676" s="306">
        <v>2000</v>
      </c>
      <c r="E676" s="307">
        <v>2001</v>
      </c>
      <c r="F676" s="307">
        <v>2002</v>
      </c>
      <c r="G676" s="307">
        <v>2003</v>
      </c>
      <c r="H676" s="307">
        <v>2004</v>
      </c>
      <c r="I676" s="307">
        <v>2005</v>
      </c>
      <c r="J676" s="307">
        <v>2006</v>
      </c>
      <c r="K676" s="307">
        <v>2007</v>
      </c>
      <c r="L676" s="307">
        <v>2008</v>
      </c>
      <c r="M676" s="307">
        <v>2009</v>
      </c>
      <c r="N676" s="308">
        <v>2010</v>
      </c>
      <c r="O676" s="256">
        <v>2011</v>
      </c>
      <c r="P676" s="256">
        <v>2012</v>
      </c>
      <c r="Q676" s="256">
        <v>2013</v>
      </c>
      <c r="R676" s="256">
        <v>2014</v>
      </c>
      <c r="S676" s="256">
        <v>2015</v>
      </c>
      <c r="T676" s="256">
        <v>2016</v>
      </c>
      <c r="U676" s="256">
        <v>2017</v>
      </c>
      <c r="V676" s="256">
        <v>2018</v>
      </c>
      <c r="W676" s="256">
        <v>2019</v>
      </c>
      <c r="X676" s="256">
        <v>2020</v>
      </c>
    </row>
    <row r="677" spans="1:24">
      <c r="A677" s="259" t="s">
        <v>381</v>
      </c>
      <c r="B677" s="305">
        <f>NPV(0.1,D677:Y677)</f>
        <v>587133.4111321813</v>
      </c>
      <c r="C677" s="305">
        <f>B677-B666</f>
        <v>0</v>
      </c>
      <c r="D677" s="309">
        <v>41364.1276</v>
      </c>
      <c r="E677" s="310">
        <v>53599.168868000001</v>
      </c>
      <c r="F677" s="310">
        <v>53676.461374039995</v>
      </c>
      <c r="G677" s="310">
        <v>65143.101439719816</v>
      </c>
      <c r="H677" s="310">
        <v>73806.689285054352</v>
      </c>
      <c r="I677" s="310">
        <v>75317.217318825977</v>
      </c>
      <c r="J677" s="310">
        <v>75252.785341236653</v>
      </c>
      <c r="K677" s="310">
        <v>75972.254192721084</v>
      </c>
      <c r="L677" s="310">
        <v>76688.273847830875</v>
      </c>
      <c r="M677" s="310">
        <v>77399.989832817198</v>
      </c>
      <c r="N677" s="311">
        <v>78106.499509783054</v>
      </c>
      <c r="O677" s="31">
        <v>78806.849955860729</v>
      </c>
      <c r="P677" s="31">
        <v>79500.035758487647</v>
      </c>
      <c r="Q677" s="31">
        <v>80184.996723655335</v>
      </c>
      <c r="R677" s="31">
        <v>80860.615493893827</v>
      </c>
      <c r="S677" s="31">
        <v>81525.715072638748</v>
      </c>
      <c r="T677" s="31">
        <v>82179.056251507223</v>
      </c>
      <c r="U677" s="31">
        <v>82819.334936885876</v>
      </c>
      <c r="V677" s="31">
        <v>83445.179372104292</v>
      </c>
      <c r="W677" s="31">
        <v>82865.432394184551</v>
      </c>
      <c r="X677" s="31">
        <v>35526.302372602433</v>
      </c>
    </row>
    <row r="678" spans="1:24">
      <c r="A678" s="260" t="s">
        <v>382</v>
      </c>
      <c r="B678" s="305">
        <f>NPV(0.1,D678:Y678)</f>
        <v>254713.97117986018</v>
      </c>
      <c r="C678" s="305">
        <f>B678-B667</f>
        <v>-1.4428634953219444E-2</v>
      </c>
      <c r="D678" s="309">
        <v>26188.211295502431</v>
      </c>
      <c r="E678" s="310">
        <v>27264.233974549141</v>
      </c>
      <c r="F678" s="310">
        <v>27414.848906472194</v>
      </c>
      <c r="G678" s="310">
        <v>28971.80867781712</v>
      </c>
      <c r="H678" s="310">
        <v>29949.233126204679</v>
      </c>
      <c r="I678" s="310">
        <v>30091.265200283677</v>
      </c>
      <c r="J678" s="310">
        <v>30279.883621438366</v>
      </c>
      <c r="K678" s="310">
        <v>30474.160595227699</v>
      </c>
      <c r="L678" s="310">
        <v>30674.265878230715</v>
      </c>
      <c r="M678" s="310">
        <v>30839.281713070101</v>
      </c>
      <c r="N678" s="311">
        <v>31051.573407807995</v>
      </c>
      <c r="O678" s="31">
        <v>31270.233853388028</v>
      </c>
      <c r="P678" s="31">
        <v>31495.454112335461</v>
      </c>
      <c r="Q678" s="31">
        <v>31686.338372397604</v>
      </c>
      <c r="R678" s="31">
        <v>31925.274545114935</v>
      </c>
      <c r="S678" s="31">
        <v>32171.378803013788</v>
      </c>
      <c r="T678" s="31">
        <v>32424.866188649605</v>
      </c>
      <c r="U678" s="31">
        <v>32644.865589200781</v>
      </c>
      <c r="V678" s="31">
        <v>32913.790356621823</v>
      </c>
      <c r="W678" s="31">
        <v>33190.782867065493</v>
      </c>
      <c r="X678" s="31">
        <v>16230.934223274058</v>
      </c>
    </row>
    <row r="679" spans="1:24">
      <c r="A679" s="260" t="s">
        <v>35</v>
      </c>
      <c r="B679" s="305">
        <f>NPV(0.1,D679:Y679)</f>
        <v>114657.14694204321</v>
      </c>
      <c r="C679" s="305">
        <f>B679-B668</f>
        <v>0.689846792985918</v>
      </c>
      <c r="D679" s="309">
        <v>-2277.9414485392022</v>
      </c>
      <c r="E679" s="310">
        <v>3300.8681170122786</v>
      </c>
      <c r="F679" s="310">
        <v>3556.2738564284018</v>
      </c>
      <c r="G679" s="310">
        <v>10034.263586283989</v>
      </c>
      <c r="H679" s="310">
        <v>15278.220832177754</v>
      </c>
      <c r="I679" s="310">
        <v>16533.576519485447</v>
      </c>
      <c r="J679" s="310">
        <v>16777.420006468114</v>
      </c>
      <c r="K679" s="310">
        <v>17493.047838774997</v>
      </c>
      <c r="L679" s="310">
        <v>18203.008306167205</v>
      </c>
      <c r="M679" s="310">
        <v>19180.276724538686</v>
      </c>
      <c r="N679" s="311">
        <v>20298.503246677639</v>
      </c>
      <c r="O679" s="31">
        <v>20787.822298456529</v>
      </c>
      <c r="P679" s="31">
        <v>21317.524543603824</v>
      </c>
      <c r="Q679" s="31">
        <v>21863.177356362095</v>
      </c>
      <c r="R679" s="31">
        <v>22373.769737354858</v>
      </c>
      <c r="S679" s="31">
        <v>22873.557462903296</v>
      </c>
      <c r="T679" s="31">
        <v>23361.65217237355</v>
      </c>
      <c r="U679" s="31">
        <v>24106.059608121541</v>
      </c>
      <c r="V679" s="31">
        <v>24909.296600869304</v>
      </c>
      <c r="W679" s="31">
        <v>25117.444876518479</v>
      </c>
      <c r="X679" s="31">
        <v>7415.0398507569653</v>
      </c>
    </row>
    <row r="680" spans="1:24">
      <c r="A680" s="260" t="s">
        <v>32</v>
      </c>
      <c r="B680" s="305">
        <f>NPV(0.1,D680:Y680)</f>
        <v>123233.03932616499</v>
      </c>
      <c r="C680" s="305">
        <f>B680-B669</f>
        <v>0.3235282163368538</v>
      </c>
      <c r="D680" s="312">
        <v>-6452.2894529152363</v>
      </c>
      <c r="E680" s="313">
        <v>5576.3522046189973</v>
      </c>
      <c r="F680" s="313">
        <v>3279.1789734123995</v>
      </c>
      <c r="G680" s="313">
        <v>11295.737846426477</v>
      </c>
      <c r="H680" s="313">
        <v>25404.397710835292</v>
      </c>
      <c r="I680" s="313">
        <v>22710.179604131034</v>
      </c>
      <c r="J680" s="313">
        <v>18428.742387808168</v>
      </c>
      <c r="K680" s="313">
        <v>19153.910293671397</v>
      </c>
      <c r="L680" s="313">
        <v>14413.330687507256</v>
      </c>
      <c r="M680" s="313">
        <v>11650.406572781358</v>
      </c>
      <c r="N680" s="314">
        <v>26402.685628017691</v>
      </c>
      <c r="O680" s="31">
        <v>25913.40475335293</v>
      </c>
      <c r="P680" s="31">
        <v>26433.566924943876</v>
      </c>
      <c r="Q680" s="31">
        <v>26947.667204604779</v>
      </c>
      <c r="R680" s="31">
        <v>27489.812118694914</v>
      </c>
      <c r="S680" s="31">
        <v>25175.278145121567</v>
      </c>
      <c r="T680" s="31">
        <v>17908.351155470045</v>
      </c>
      <c r="U680" s="31">
        <v>16635.385984564331</v>
      </c>
      <c r="V680" s="31">
        <v>14515.295583965806</v>
      </c>
      <c r="W680" s="31">
        <v>12747.163859614979</v>
      </c>
      <c r="X680" s="31">
        <v>11799.388833853467</v>
      </c>
    </row>
    <row r="683" spans="1:24">
      <c r="A683" s="1037" t="s">
        <v>684</v>
      </c>
    </row>
    <row r="684" spans="1:24">
      <c r="A684" s="261">
        <v>36433</v>
      </c>
    </row>
    <row r="685" spans="1:24">
      <c r="A685" s="254" t="s">
        <v>379</v>
      </c>
      <c r="B685" s="255">
        <v>46413.051686640305</v>
      </c>
      <c r="C685" s="256"/>
      <c r="D685" s="256"/>
      <c r="E685" s="256"/>
      <c r="F685" s="256"/>
      <c r="G685" s="256"/>
      <c r="H685" s="256"/>
      <c r="I685" s="256"/>
      <c r="J685" s="256"/>
      <c r="K685" s="256"/>
      <c r="L685" s="256"/>
      <c r="M685" s="256"/>
      <c r="N685" s="256"/>
      <c r="O685" s="256"/>
      <c r="P685" s="256"/>
      <c r="Q685" s="256"/>
      <c r="R685" s="256"/>
      <c r="S685" s="256"/>
      <c r="T685" s="256"/>
      <c r="U685" s="256"/>
      <c r="V685" s="256"/>
    </row>
    <row r="686" spans="1:24">
      <c r="A686" s="257" t="s">
        <v>380</v>
      </c>
      <c r="B686" s="258">
        <v>90212.866383801258</v>
      </c>
      <c r="C686" s="256"/>
      <c r="D686" s="256"/>
      <c r="E686" s="256"/>
      <c r="F686" s="256"/>
      <c r="G686" s="256"/>
      <c r="H686" s="256"/>
      <c r="I686" s="256"/>
      <c r="J686" s="256"/>
      <c r="K686" s="256"/>
      <c r="L686" s="256"/>
      <c r="M686" s="256"/>
      <c r="N686" s="256"/>
      <c r="O686" s="256"/>
      <c r="P686" s="256"/>
      <c r="Q686" s="256"/>
      <c r="R686" s="256"/>
      <c r="S686" s="256"/>
      <c r="T686" s="256"/>
      <c r="U686" s="256"/>
      <c r="V686" s="256"/>
    </row>
    <row r="687" spans="1:24">
      <c r="A687" s="259" t="s">
        <v>383</v>
      </c>
      <c r="B687" s="304" t="s">
        <v>483</v>
      </c>
      <c r="C687" s="304" t="s">
        <v>484</v>
      </c>
      <c r="D687" s="306">
        <v>2000</v>
      </c>
      <c r="E687" s="307">
        <v>2001</v>
      </c>
      <c r="F687" s="307">
        <v>2002</v>
      </c>
      <c r="G687" s="307">
        <v>2003</v>
      </c>
      <c r="H687" s="307">
        <v>2004</v>
      </c>
      <c r="I687" s="307">
        <v>2005</v>
      </c>
      <c r="J687" s="307">
        <v>2006</v>
      </c>
      <c r="K687" s="307">
        <v>2007</v>
      </c>
      <c r="L687" s="307">
        <v>2008</v>
      </c>
      <c r="M687" s="307">
        <v>2009</v>
      </c>
      <c r="N687" s="308">
        <v>2010</v>
      </c>
      <c r="O687" s="256">
        <v>2011</v>
      </c>
      <c r="P687" s="256">
        <v>2012</v>
      </c>
      <c r="Q687" s="256">
        <v>2013</v>
      </c>
      <c r="R687" s="256">
        <v>2014</v>
      </c>
      <c r="S687" s="256">
        <v>2015</v>
      </c>
      <c r="T687" s="256">
        <v>2016</v>
      </c>
      <c r="U687" s="256">
        <v>2017</v>
      </c>
      <c r="V687" s="256">
        <v>2018</v>
      </c>
      <c r="W687" s="256">
        <v>2019</v>
      </c>
      <c r="X687" s="256">
        <v>2020</v>
      </c>
    </row>
    <row r="688" spans="1:24">
      <c r="A688" s="259" t="s">
        <v>381</v>
      </c>
      <c r="B688" s="305">
        <f>NPV(0.1,D688:Y688)</f>
        <v>587133.4111321813</v>
      </c>
      <c r="C688" s="305">
        <f>B688-B677</f>
        <v>0</v>
      </c>
      <c r="D688" s="309">
        <v>41364.1276</v>
      </c>
      <c r="E688" s="310">
        <v>53599.168868000001</v>
      </c>
      <c r="F688" s="310">
        <v>53676.461374039995</v>
      </c>
      <c r="G688" s="310">
        <v>65143.101439719816</v>
      </c>
      <c r="H688" s="310">
        <v>73806.689285054352</v>
      </c>
      <c r="I688" s="310">
        <v>75317.217318825977</v>
      </c>
      <c r="J688" s="310">
        <v>75252.785341236653</v>
      </c>
      <c r="K688" s="310">
        <v>75972.254192721084</v>
      </c>
      <c r="L688" s="310">
        <v>76688.273847830875</v>
      </c>
      <c r="M688" s="310">
        <v>77399.989832817198</v>
      </c>
      <c r="N688" s="311">
        <v>78106.499509783054</v>
      </c>
      <c r="O688" s="31">
        <v>78806.849955860729</v>
      </c>
      <c r="P688" s="31">
        <v>79500.035758487647</v>
      </c>
      <c r="Q688" s="31">
        <v>80184.996723655335</v>
      </c>
      <c r="R688" s="31">
        <v>80860.615493893827</v>
      </c>
      <c r="S688" s="31">
        <v>81525.715072638748</v>
      </c>
      <c r="T688" s="31">
        <v>82179.056251507223</v>
      </c>
      <c r="U688" s="31">
        <v>82819.334936885876</v>
      </c>
      <c r="V688" s="31">
        <v>83445.179372104292</v>
      </c>
      <c r="W688" s="31">
        <v>82865.432394184551</v>
      </c>
      <c r="X688" s="31">
        <v>35526.302372602433</v>
      </c>
    </row>
    <row r="689" spans="1:24">
      <c r="A689" s="260" t="s">
        <v>382</v>
      </c>
      <c r="B689" s="305">
        <f>NPV(0.1,D689:Y689)</f>
        <v>254696.51812090399</v>
      </c>
      <c r="C689" s="305">
        <f>B689-B678</f>
        <v>-17.453058956190944</v>
      </c>
      <c r="D689" s="309">
        <v>26185.335441502433</v>
      </c>
      <c r="E689" s="310">
        <v>27262.31673854914</v>
      </c>
      <c r="F689" s="310">
        <v>27412.931670472193</v>
      </c>
      <c r="G689" s="310">
        <v>28969.891441817119</v>
      </c>
      <c r="H689" s="310">
        <v>29947.315890204678</v>
      </c>
      <c r="I689" s="310">
        <v>30089.347964283676</v>
      </c>
      <c r="J689" s="310">
        <v>30277.966385438365</v>
      </c>
      <c r="K689" s="310">
        <v>30472.243359227698</v>
      </c>
      <c r="L689" s="310">
        <v>30672.348642230714</v>
      </c>
      <c r="M689" s="310">
        <v>30837.364477070099</v>
      </c>
      <c r="N689" s="311">
        <v>31049.656171807994</v>
      </c>
      <c r="O689" s="31">
        <v>31268.316617388027</v>
      </c>
      <c r="P689" s="31">
        <v>31493.53687633546</v>
      </c>
      <c r="Q689" s="31">
        <v>31684.421136397603</v>
      </c>
      <c r="R689" s="31">
        <v>31923.357309114934</v>
      </c>
      <c r="S689" s="31">
        <v>32169.461567013786</v>
      </c>
      <c r="T689" s="31">
        <v>32422.948952649604</v>
      </c>
      <c r="U689" s="31">
        <v>32642.94835320078</v>
      </c>
      <c r="V689" s="31">
        <v>32911.873120621829</v>
      </c>
      <c r="W689" s="31">
        <v>33188.865631065499</v>
      </c>
      <c r="X689" s="31">
        <v>16229.016987274057</v>
      </c>
    </row>
    <row r="690" spans="1:24">
      <c r="A690" s="260" t="s">
        <v>35</v>
      </c>
      <c r="B690" s="305">
        <f>NPV(0.1,D690:Y690)</f>
        <v>115095.23900236293</v>
      </c>
      <c r="C690" s="305">
        <f>B690-B679</f>
        <v>438.09206031971553</v>
      </c>
      <c r="D690" s="309">
        <v>-2246.5513376761601</v>
      </c>
      <c r="E690" s="310">
        <v>3352.8393019519067</v>
      </c>
      <c r="F690" s="310">
        <v>3608.2450413680303</v>
      </c>
      <c r="G690" s="310">
        <v>10086.234771223617</v>
      </c>
      <c r="H690" s="310">
        <v>15330.192017117384</v>
      </c>
      <c r="I690" s="310">
        <v>16586.921406391077</v>
      </c>
      <c r="J690" s="310">
        <v>16831.746109063741</v>
      </c>
      <c r="K690" s="310">
        <v>17547.373941370628</v>
      </c>
      <c r="L690" s="310">
        <v>18257.334408762825</v>
      </c>
      <c r="M690" s="310">
        <v>19234.602827134313</v>
      </c>
      <c r="N690" s="311">
        <v>20352.82934927327</v>
      </c>
      <c r="O690" s="31">
        <v>20842.148401052153</v>
      </c>
      <c r="P690" s="31">
        <v>21371.850646199448</v>
      </c>
      <c r="Q690" s="31">
        <v>21917.503458957715</v>
      </c>
      <c r="R690" s="31">
        <v>22428.095839950496</v>
      </c>
      <c r="S690" s="31">
        <v>22927.883565498931</v>
      </c>
      <c r="T690" s="31">
        <v>23415.978274969173</v>
      </c>
      <c r="U690" s="31">
        <v>24160.385710717172</v>
      </c>
      <c r="V690" s="31">
        <v>24963.622703464931</v>
      </c>
      <c r="W690" s="31">
        <v>25171.770979114102</v>
      </c>
      <c r="X690" s="31">
        <v>7442.9702658525948</v>
      </c>
    </row>
    <row r="691" spans="1:24">
      <c r="A691" s="260" t="s">
        <v>32</v>
      </c>
      <c r="B691" s="305">
        <f>NPV(0.1,D691:Y691)</f>
        <v>122952.49481346454</v>
      </c>
      <c r="C691" s="305">
        <f>B691-B680</f>
        <v>-280.54451270044956</v>
      </c>
      <c r="D691" s="312">
        <v>-6449.3776507402363</v>
      </c>
      <c r="E691" s="313">
        <v>5578.2934060689986</v>
      </c>
      <c r="F691" s="313">
        <v>3281.1201748623971</v>
      </c>
      <c r="G691" s="313">
        <v>11297.679047876481</v>
      </c>
      <c r="H691" s="313">
        <v>25406.338912285297</v>
      </c>
      <c r="I691" s="313">
        <v>22472.679047141079</v>
      </c>
      <c r="J691" s="313">
        <v>18389.941784344432</v>
      </c>
      <c r="K691" s="313">
        <v>19115.092365566088</v>
      </c>
      <c r="L691" s="313">
        <v>14374.530084043517</v>
      </c>
      <c r="M691" s="313">
        <v>11611.588644676041</v>
      </c>
      <c r="N691" s="314">
        <v>26363.885024553965</v>
      </c>
      <c r="O691" s="31">
        <v>25874.586825247599</v>
      </c>
      <c r="P691" s="31">
        <v>26394.766321480143</v>
      </c>
      <c r="Q691" s="31">
        <v>26908.849276499452</v>
      </c>
      <c r="R691" s="31">
        <v>27451.011515231188</v>
      </c>
      <c r="S691" s="31">
        <v>25141.58831092513</v>
      </c>
      <c r="T691" s="31">
        <v>17879.772090540875</v>
      </c>
      <c r="U691" s="31">
        <v>16606.806919635161</v>
      </c>
      <c r="V691" s="31">
        <v>14486.716519036636</v>
      </c>
      <c r="W691" s="31">
        <v>12718.584794685801</v>
      </c>
      <c r="X691" s="31">
        <v>11788.164081424296</v>
      </c>
    </row>
    <row r="694" spans="1:24">
      <c r="A694" s="1037" t="s">
        <v>684</v>
      </c>
    </row>
    <row r="695" spans="1:24">
      <c r="A695" s="261">
        <v>36452</v>
      </c>
    </row>
    <row r="696" spans="1:24">
      <c r="A696" s="254" t="s">
        <v>379</v>
      </c>
      <c r="B696" s="255">
        <v>46615.753766422436</v>
      </c>
      <c r="C696" s="256"/>
      <c r="D696" s="256"/>
      <c r="E696" s="256"/>
      <c r="F696" s="256"/>
      <c r="G696" s="256"/>
      <c r="H696" s="256"/>
      <c r="I696" s="256"/>
      <c r="J696" s="256"/>
      <c r="K696" s="256"/>
      <c r="L696" s="256"/>
      <c r="M696" s="256"/>
      <c r="N696" s="256"/>
      <c r="O696" s="256"/>
      <c r="P696" s="256"/>
      <c r="Q696" s="256"/>
      <c r="R696" s="256"/>
      <c r="S696" s="256"/>
      <c r="T696" s="256"/>
      <c r="U696" s="256"/>
      <c r="V696" s="256"/>
    </row>
    <row r="697" spans="1:24">
      <c r="A697" s="257" t="s">
        <v>380</v>
      </c>
      <c r="B697" s="258">
        <v>90454.479157920025</v>
      </c>
      <c r="C697" s="256"/>
      <c r="D697" s="256"/>
      <c r="E697" s="256"/>
      <c r="F697" s="256"/>
      <c r="G697" s="256"/>
      <c r="H697" s="256"/>
      <c r="I697" s="256"/>
      <c r="J697" s="256"/>
      <c r="K697" s="256"/>
      <c r="L697" s="256"/>
      <c r="M697" s="256"/>
      <c r="N697" s="256"/>
      <c r="O697" s="256"/>
      <c r="P697" s="256"/>
      <c r="Q697" s="256"/>
      <c r="R697" s="256"/>
      <c r="S697" s="256"/>
      <c r="T697" s="256"/>
      <c r="U697" s="256"/>
      <c r="V697" s="256"/>
    </row>
    <row r="698" spans="1:24">
      <c r="A698" s="259" t="s">
        <v>383</v>
      </c>
      <c r="B698" s="304" t="s">
        <v>483</v>
      </c>
      <c r="C698" s="304" t="s">
        <v>484</v>
      </c>
      <c r="D698" s="306">
        <v>2000</v>
      </c>
      <c r="E698" s="307">
        <v>2001</v>
      </c>
      <c r="F698" s="307">
        <v>2002</v>
      </c>
      <c r="G698" s="307">
        <v>2003</v>
      </c>
      <c r="H698" s="307">
        <v>2004</v>
      </c>
      <c r="I698" s="307">
        <v>2005</v>
      </c>
      <c r="J698" s="307">
        <v>2006</v>
      </c>
      <c r="K698" s="307">
        <v>2007</v>
      </c>
      <c r="L698" s="307">
        <v>2008</v>
      </c>
      <c r="M698" s="307">
        <v>2009</v>
      </c>
      <c r="N698" s="308">
        <v>2010</v>
      </c>
      <c r="O698" s="256">
        <v>2011</v>
      </c>
      <c r="P698" s="256">
        <v>2012</v>
      </c>
      <c r="Q698" s="256">
        <v>2013</v>
      </c>
      <c r="R698" s="256">
        <v>2014</v>
      </c>
      <c r="S698" s="256">
        <v>2015</v>
      </c>
      <c r="T698" s="256">
        <v>2016</v>
      </c>
      <c r="U698" s="256">
        <v>2017</v>
      </c>
      <c r="V698" s="256">
        <v>2018</v>
      </c>
      <c r="W698" s="256">
        <v>2019</v>
      </c>
      <c r="X698" s="256">
        <v>2020</v>
      </c>
    </row>
    <row r="699" spans="1:24">
      <c r="A699" s="259" t="s">
        <v>381</v>
      </c>
      <c r="B699" s="305">
        <f>NPV(0.1,D699:Y699)</f>
        <v>587133.4111321813</v>
      </c>
      <c r="C699" s="305">
        <f>B699-B688</f>
        <v>0</v>
      </c>
      <c r="D699" s="309">
        <v>41364.1276</v>
      </c>
      <c r="E699" s="310">
        <v>53599.168868000001</v>
      </c>
      <c r="F699" s="310">
        <v>53676.461374039995</v>
      </c>
      <c r="G699" s="310">
        <v>65143.101439719816</v>
      </c>
      <c r="H699" s="310">
        <v>73806.689285054352</v>
      </c>
      <c r="I699" s="310">
        <v>75317.217318825977</v>
      </c>
      <c r="J699" s="310">
        <v>75252.785341236653</v>
      </c>
      <c r="K699" s="310">
        <v>75972.254192721084</v>
      </c>
      <c r="L699" s="310">
        <v>76688.273847830875</v>
      </c>
      <c r="M699" s="310">
        <v>77399.989832817198</v>
      </c>
      <c r="N699" s="311">
        <v>78106.499509783054</v>
      </c>
      <c r="O699" s="31">
        <v>78806.849955860729</v>
      </c>
      <c r="P699" s="31">
        <v>79500.035758487647</v>
      </c>
      <c r="Q699" s="31">
        <v>80184.996723655335</v>
      </c>
      <c r="R699" s="31">
        <v>80860.615493893827</v>
      </c>
      <c r="S699" s="31">
        <v>81525.715072638748</v>
      </c>
      <c r="T699" s="31">
        <v>82179.056251507223</v>
      </c>
      <c r="U699" s="31">
        <v>82819.334936885876</v>
      </c>
      <c r="V699" s="31">
        <v>83445.179372104292</v>
      </c>
      <c r="W699" s="31">
        <v>82865.432394184551</v>
      </c>
      <c r="X699" s="31">
        <v>35526.302372602433</v>
      </c>
    </row>
    <row r="700" spans="1:24">
      <c r="A700" s="260" t="s">
        <v>382</v>
      </c>
      <c r="B700" s="305">
        <f>NPV(0.1,D700:Y700)</f>
        <v>254694.33719403553</v>
      </c>
      <c r="C700" s="305">
        <f>B700-B689</f>
        <v>-2.1809268684592098</v>
      </c>
      <c r="D700" s="309">
        <v>26184.976076002433</v>
      </c>
      <c r="E700" s="310">
        <v>27262.077161549139</v>
      </c>
      <c r="F700" s="310">
        <v>27412.692093472193</v>
      </c>
      <c r="G700" s="310">
        <v>28969.651864817119</v>
      </c>
      <c r="H700" s="310">
        <v>29947.076313204678</v>
      </c>
      <c r="I700" s="310">
        <v>30089.108387283675</v>
      </c>
      <c r="J700" s="310">
        <v>30277.726808438365</v>
      </c>
      <c r="K700" s="310">
        <v>30472.003782227697</v>
      </c>
      <c r="L700" s="310">
        <v>30672.109065230714</v>
      </c>
      <c r="M700" s="310">
        <v>30837.124900070099</v>
      </c>
      <c r="N700" s="311">
        <v>31049.416594807994</v>
      </c>
      <c r="O700" s="31">
        <v>31268.077040388027</v>
      </c>
      <c r="P700" s="31">
        <v>31493.29729933546</v>
      </c>
      <c r="Q700" s="31">
        <v>31684.181559397603</v>
      </c>
      <c r="R700" s="31">
        <v>31923.117732114933</v>
      </c>
      <c r="S700" s="31">
        <v>32169.221990013786</v>
      </c>
      <c r="T700" s="31">
        <v>32422.709375649603</v>
      </c>
      <c r="U700" s="31">
        <v>32642.70877620078</v>
      </c>
      <c r="V700" s="31">
        <v>32911.633543621829</v>
      </c>
      <c r="W700" s="31">
        <v>33188.626054065498</v>
      </c>
      <c r="X700" s="31">
        <v>16228.777410274059</v>
      </c>
    </row>
    <row r="701" spans="1:24">
      <c r="A701" s="260" t="s">
        <v>35</v>
      </c>
      <c r="B701" s="305">
        <f>NPV(0.1,D701:Y701)</f>
        <v>115130.83904821365</v>
      </c>
      <c r="C701" s="305">
        <f>B701-B690</f>
        <v>35.600045850718743</v>
      </c>
      <c r="D701" s="309">
        <v>-2244.1305202538806</v>
      </c>
      <c r="E701" s="310">
        <v>3356.7592948609108</v>
      </c>
      <c r="F701" s="310">
        <v>3612.165034277034</v>
      </c>
      <c r="G701" s="310">
        <v>10090.154764132621</v>
      </c>
      <c r="H701" s="310">
        <v>15334.112010026389</v>
      </c>
      <c r="I701" s="310">
        <v>16591.227550611075</v>
      </c>
      <c r="J701" s="310">
        <v>16836.328075648744</v>
      </c>
      <c r="K701" s="310">
        <v>17551.955907955635</v>
      </c>
      <c r="L701" s="310">
        <v>18261.916375347828</v>
      </c>
      <c r="M701" s="310">
        <v>19239.184793719316</v>
      </c>
      <c r="N701" s="311">
        <v>20357.41131585827</v>
      </c>
      <c r="O701" s="31">
        <v>20846.730367637152</v>
      </c>
      <c r="P701" s="31">
        <v>21376.432612784451</v>
      </c>
      <c r="Q701" s="31">
        <v>21922.085425542718</v>
      </c>
      <c r="R701" s="31">
        <v>22432.677806535496</v>
      </c>
      <c r="S701" s="31">
        <v>22932.465532083927</v>
      </c>
      <c r="T701" s="31">
        <v>23420.560241554176</v>
      </c>
      <c r="U701" s="31">
        <v>24164.967677302178</v>
      </c>
      <c r="V701" s="31">
        <v>24968.204670049934</v>
      </c>
      <c r="W701" s="31">
        <v>25176.352945699105</v>
      </c>
      <c r="X701" s="31">
        <v>7447.5522324375979</v>
      </c>
    </row>
    <row r="702" spans="1:24">
      <c r="A702" s="260" t="s">
        <v>32</v>
      </c>
      <c r="B702" s="305">
        <f>NPV(0.1,D702:Y702)</f>
        <v>122911.78832753369</v>
      </c>
      <c r="C702" s="305">
        <f>B702-B691</f>
        <v>-40.706485930844792</v>
      </c>
      <c r="D702" s="312">
        <v>-6449.0137931714871</v>
      </c>
      <c r="E702" s="313">
        <v>5578.5359777814992</v>
      </c>
      <c r="F702" s="313">
        <v>3281.3627465749014</v>
      </c>
      <c r="G702" s="313">
        <v>11297.921619588982</v>
      </c>
      <c r="H702" s="313">
        <v>25406.581483997797</v>
      </c>
      <c r="I702" s="313">
        <v>22431.787781019575</v>
      </c>
      <c r="J702" s="313">
        <v>18384.352795863346</v>
      </c>
      <c r="K702" s="313">
        <v>19109.493656170976</v>
      </c>
      <c r="L702" s="313">
        <v>14368.94109556243</v>
      </c>
      <c r="M702" s="313">
        <v>11605.989935280933</v>
      </c>
      <c r="N702" s="314">
        <v>26358.296036072876</v>
      </c>
      <c r="O702" s="31">
        <v>25868.988115852491</v>
      </c>
      <c r="P702" s="31">
        <v>26389.177332999054</v>
      </c>
      <c r="Q702" s="31">
        <v>26903.25056710434</v>
      </c>
      <c r="R702" s="31">
        <v>27445.422526750102</v>
      </c>
      <c r="S702" s="31">
        <v>25138.866992080224</v>
      </c>
      <c r="T702" s="31">
        <v>17879.918441332175</v>
      </c>
      <c r="U702" s="31">
        <v>16606.953270426464</v>
      </c>
      <c r="V702" s="31">
        <v>14486.862869827935</v>
      </c>
      <c r="W702" s="31">
        <v>12718.731145477104</v>
      </c>
      <c r="X702" s="31">
        <v>11788.310432215598</v>
      </c>
    </row>
    <row r="705" spans="1:24">
      <c r="A705" s="1037" t="s">
        <v>685</v>
      </c>
    </row>
    <row r="706" spans="1:24">
      <c r="A706" s="261">
        <v>36465</v>
      </c>
    </row>
    <row r="707" spans="1:24">
      <c r="A707" s="254" t="s">
        <v>379</v>
      </c>
      <c r="B707" s="255">
        <v>48033.948751821415</v>
      </c>
      <c r="C707" s="256"/>
      <c r="D707" s="256"/>
      <c r="E707" s="256"/>
      <c r="F707" s="256"/>
      <c r="G707" s="256"/>
      <c r="H707" s="256"/>
      <c r="I707" s="256"/>
      <c r="J707" s="256"/>
      <c r="K707" s="256"/>
      <c r="L707" s="256"/>
      <c r="M707" s="256"/>
      <c r="N707" s="256"/>
      <c r="O707" s="256"/>
      <c r="P707" s="256"/>
      <c r="Q707" s="256"/>
      <c r="R707" s="256"/>
      <c r="S707" s="256"/>
      <c r="T707" s="256"/>
      <c r="U707" s="256"/>
      <c r="V707" s="256"/>
    </row>
    <row r="708" spans="1:24">
      <c r="A708" s="257" t="s">
        <v>380</v>
      </c>
      <c r="B708" s="258">
        <v>92132.018060372939</v>
      </c>
      <c r="C708" s="256"/>
      <c r="D708" s="256"/>
      <c r="E708" s="256"/>
      <c r="F708" s="256"/>
      <c r="G708" s="256"/>
      <c r="H708" s="256"/>
      <c r="I708" s="256"/>
      <c r="J708" s="256"/>
      <c r="K708" s="256"/>
      <c r="L708" s="256"/>
      <c r="M708" s="256"/>
      <c r="N708" s="256"/>
      <c r="O708" s="256"/>
      <c r="P708" s="256"/>
      <c r="Q708" s="256"/>
      <c r="R708" s="256"/>
      <c r="S708" s="256"/>
      <c r="T708" s="256"/>
      <c r="U708" s="256"/>
      <c r="V708" s="256"/>
    </row>
    <row r="709" spans="1:24">
      <c r="A709" s="259" t="s">
        <v>383</v>
      </c>
      <c r="B709" s="304" t="s">
        <v>483</v>
      </c>
      <c r="C709" s="304" t="s">
        <v>484</v>
      </c>
      <c r="D709" s="306">
        <v>2000</v>
      </c>
      <c r="E709" s="307">
        <v>2001</v>
      </c>
      <c r="F709" s="307">
        <v>2002</v>
      </c>
      <c r="G709" s="307">
        <v>2003</v>
      </c>
      <c r="H709" s="307">
        <v>2004</v>
      </c>
      <c r="I709" s="307">
        <v>2005</v>
      </c>
      <c r="J709" s="307">
        <v>2006</v>
      </c>
      <c r="K709" s="307">
        <v>2007</v>
      </c>
      <c r="L709" s="307">
        <v>2008</v>
      </c>
      <c r="M709" s="307">
        <v>2009</v>
      </c>
      <c r="N709" s="308">
        <v>2010</v>
      </c>
      <c r="O709" s="256">
        <v>2011</v>
      </c>
      <c r="P709" s="256">
        <v>2012</v>
      </c>
      <c r="Q709" s="256">
        <v>2013</v>
      </c>
      <c r="R709" s="256">
        <v>2014</v>
      </c>
      <c r="S709" s="256">
        <v>2015</v>
      </c>
      <c r="T709" s="256">
        <v>2016</v>
      </c>
      <c r="U709" s="256">
        <v>2017</v>
      </c>
      <c r="V709" s="256">
        <v>2018</v>
      </c>
      <c r="W709" s="256">
        <v>2019</v>
      </c>
      <c r="X709" s="256">
        <v>2020</v>
      </c>
    </row>
    <row r="710" spans="1:24">
      <c r="A710" s="259" t="s">
        <v>381</v>
      </c>
      <c r="B710" s="305">
        <f>NPV(0.1,D710:Y710)</f>
        <v>587133.4111321813</v>
      </c>
      <c r="C710" s="305">
        <f>B710-B699</f>
        <v>0</v>
      </c>
      <c r="D710" s="309">
        <v>41364.1276</v>
      </c>
      <c r="E710" s="310">
        <v>53599.168868000001</v>
      </c>
      <c r="F710" s="310">
        <v>53676.461374039995</v>
      </c>
      <c r="G710" s="310">
        <v>65143.101439719816</v>
      </c>
      <c r="H710" s="310">
        <v>73806.689285054352</v>
      </c>
      <c r="I710" s="310">
        <v>75317.217318825977</v>
      </c>
      <c r="J710" s="310">
        <v>75252.785341236653</v>
      </c>
      <c r="K710" s="310">
        <v>75972.254192721084</v>
      </c>
      <c r="L710" s="310">
        <v>76688.273847830875</v>
      </c>
      <c r="M710" s="310">
        <v>77399.989832817198</v>
      </c>
      <c r="N710" s="311">
        <v>78106.499509783054</v>
      </c>
      <c r="O710" s="31">
        <v>78806.849955860729</v>
      </c>
      <c r="P710" s="31">
        <v>79500.035758487647</v>
      </c>
      <c r="Q710" s="31">
        <v>80184.996723655335</v>
      </c>
      <c r="R710" s="31">
        <v>80860.615493893827</v>
      </c>
      <c r="S710" s="31">
        <v>81525.715072638748</v>
      </c>
      <c r="T710" s="31">
        <v>82179.056251507223</v>
      </c>
      <c r="U710" s="31">
        <v>82819.334936885876</v>
      </c>
      <c r="V710" s="31">
        <v>83445.179372104292</v>
      </c>
      <c r="W710" s="31">
        <v>82865.432394184551</v>
      </c>
      <c r="X710" s="31">
        <v>35526.302372602433</v>
      </c>
    </row>
    <row r="711" spans="1:24">
      <c r="A711" s="260" t="s">
        <v>382</v>
      </c>
      <c r="B711" s="305">
        <f>NPV(0.1,D711:Y711)</f>
        <v>254736.84555112754</v>
      </c>
      <c r="C711" s="305">
        <f>B711-B700</f>
        <v>42.508357092010556</v>
      </c>
      <c r="D711" s="309">
        <v>26190.197246232416</v>
      </c>
      <c r="E711" s="310">
        <v>27268.154147779125</v>
      </c>
      <c r="F711" s="310">
        <v>27418.769079702179</v>
      </c>
      <c r="G711" s="310">
        <v>28975.728851047104</v>
      </c>
      <c r="H711" s="310">
        <v>29953.153299434663</v>
      </c>
      <c r="I711" s="310">
        <v>30094.250739326064</v>
      </c>
      <c r="J711" s="310">
        <v>30282.869160480754</v>
      </c>
      <c r="K711" s="310">
        <v>30477.146134270086</v>
      </c>
      <c r="L711" s="310">
        <v>30677.251417273103</v>
      </c>
      <c r="M711" s="310">
        <v>30841.332617924891</v>
      </c>
      <c r="N711" s="311">
        <v>31053.624312662785</v>
      </c>
      <c r="O711" s="31">
        <v>31272.284758242818</v>
      </c>
      <c r="P711" s="31">
        <v>31497.505017190251</v>
      </c>
      <c r="Q711" s="31">
        <v>31687.454643064797</v>
      </c>
      <c r="R711" s="31">
        <v>31926.390815782128</v>
      </c>
      <c r="S711" s="31">
        <v>32172.495073680981</v>
      </c>
      <c r="T711" s="31">
        <v>32425.982459316798</v>
      </c>
      <c r="U711" s="31">
        <v>32645.047225680373</v>
      </c>
      <c r="V711" s="31">
        <v>32913.971993101411</v>
      </c>
      <c r="W711" s="31">
        <v>33190.964503545081</v>
      </c>
      <c r="X711" s="31">
        <v>16231.115859753652</v>
      </c>
    </row>
    <row r="712" spans="1:24">
      <c r="A712" s="260" t="s">
        <v>35</v>
      </c>
      <c r="B712" s="305">
        <f>NPV(0.1,D712:Y712)</f>
        <v>115347.17683960315</v>
      </c>
      <c r="C712" s="305">
        <f>B712-B701</f>
        <v>216.33779138950922</v>
      </c>
      <c r="D712" s="309">
        <v>-2232.1117577010464</v>
      </c>
      <c r="E712" s="310">
        <v>3379.1182831999968</v>
      </c>
      <c r="F712" s="310">
        <v>3634.52402261612</v>
      </c>
      <c r="G712" s="310">
        <v>10112.513752471707</v>
      </c>
      <c r="H712" s="310">
        <v>15356.470998365476</v>
      </c>
      <c r="I712" s="310">
        <v>16617.526485230628</v>
      </c>
      <c r="J712" s="310">
        <v>16865.033442250788</v>
      </c>
      <c r="K712" s="310">
        <v>17580.661274557679</v>
      </c>
      <c r="L712" s="310">
        <v>18290.621741949875</v>
      </c>
      <c r="M712" s="310">
        <v>19268.461101826317</v>
      </c>
      <c r="N712" s="311">
        <v>20386.687623965277</v>
      </c>
      <c r="O712" s="31">
        <v>20876.006675744156</v>
      </c>
      <c r="P712" s="31">
        <v>21405.708920891455</v>
      </c>
      <c r="Q712" s="31">
        <v>21951.932675154683</v>
      </c>
      <c r="R712" s="31">
        <v>22462.525056147457</v>
      </c>
      <c r="S712" s="31">
        <v>22962.312781695888</v>
      </c>
      <c r="T712" s="31">
        <v>23450.407491166137</v>
      </c>
      <c r="U712" s="31">
        <v>24195.385868419093</v>
      </c>
      <c r="V712" s="31">
        <v>24998.622861166863</v>
      </c>
      <c r="W712" s="31">
        <v>25206.771136816034</v>
      </c>
      <c r="X712" s="31">
        <v>7477.9704235545178</v>
      </c>
    </row>
    <row r="713" spans="1:24">
      <c r="A713" s="260" t="s">
        <v>32</v>
      </c>
      <c r="B713" s="305">
        <f>NPV(0.1,D713:Y713)</f>
        <v>122588.63557097092</v>
      </c>
      <c r="C713" s="305">
        <f>B713-B702</f>
        <v>-323.15275656277663</v>
      </c>
      <c r="D713" s="312">
        <v>-6446.5116097993578</v>
      </c>
      <c r="E713" s="313">
        <v>5572.383029223638</v>
      </c>
      <c r="F713" s="313">
        <v>3275.2097980170402</v>
      </c>
      <c r="G713" s="313">
        <v>11291.768671031125</v>
      </c>
      <c r="H713" s="313">
        <v>25400.428535439933</v>
      </c>
      <c r="I713" s="313">
        <v>22152.092413693856</v>
      </c>
      <c r="J713" s="313">
        <v>18340.033084897539</v>
      </c>
      <c r="K713" s="313">
        <v>19065.104151317002</v>
      </c>
      <c r="L713" s="313">
        <v>14324.621384596625</v>
      </c>
      <c r="M713" s="313">
        <v>11561.236737744324</v>
      </c>
      <c r="N713" s="314">
        <v>26314.547266612029</v>
      </c>
      <c r="O713" s="31">
        <v>25825.169552503485</v>
      </c>
      <c r="P713" s="31">
        <v>26345.428563538197</v>
      </c>
      <c r="Q713" s="31">
        <v>26859.068311072697</v>
      </c>
      <c r="R713" s="31">
        <v>27402.244698794202</v>
      </c>
      <c r="S713" s="31">
        <v>25116.278361133016</v>
      </c>
      <c r="T713" s="31">
        <v>17877.919007393633</v>
      </c>
      <c r="U713" s="31">
        <v>16604.590143805279</v>
      </c>
      <c r="V713" s="31">
        <v>14485.434377394366</v>
      </c>
      <c r="W713" s="31">
        <v>12717.302653043531</v>
      </c>
      <c r="X713" s="31">
        <v>11786.881939782019</v>
      </c>
    </row>
    <row r="716" spans="1:24">
      <c r="A716" s="1037" t="s">
        <v>686</v>
      </c>
    </row>
    <row r="717" spans="1:24">
      <c r="A717" s="261">
        <v>36467</v>
      </c>
    </row>
    <row r="718" spans="1:24">
      <c r="A718" s="254" t="s">
        <v>379</v>
      </c>
      <c r="B718" s="255">
        <v>48096.359300416349</v>
      </c>
      <c r="C718" s="256"/>
      <c r="D718" s="256"/>
      <c r="E718" s="256"/>
      <c r="F718" s="256"/>
      <c r="G718" s="256"/>
      <c r="H718" s="256"/>
      <c r="I718" s="256"/>
      <c r="J718" s="256"/>
      <c r="K718" s="256"/>
      <c r="L718" s="256"/>
      <c r="M718" s="256"/>
      <c r="N718" s="256"/>
      <c r="O718" s="256"/>
      <c r="P718" s="256"/>
      <c r="Q718" s="256"/>
      <c r="R718" s="256"/>
      <c r="S718" s="256"/>
      <c r="T718" s="256"/>
      <c r="U718" s="256"/>
      <c r="V718" s="256"/>
    </row>
    <row r="719" spans="1:24">
      <c r="A719" s="257" t="s">
        <v>380</v>
      </c>
      <c r="B719" s="258">
        <v>92206.565721721083</v>
      </c>
      <c r="C719" s="256"/>
      <c r="D719" s="256"/>
      <c r="E719" s="256"/>
      <c r="F719" s="256"/>
      <c r="G719" s="256"/>
      <c r="H719" s="256"/>
      <c r="I719" s="256"/>
      <c r="J719" s="256"/>
      <c r="K719" s="256"/>
      <c r="L719" s="256"/>
      <c r="M719" s="256"/>
      <c r="N719" s="256"/>
      <c r="O719" s="256"/>
      <c r="P719" s="256"/>
      <c r="Q719" s="256"/>
      <c r="R719" s="256"/>
      <c r="S719" s="256"/>
      <c r="T719" s="256"/>
      <c r="U719" s="256"/>
      <c r="V719" s="256"/>
    </row>
    <row r="720" spans="1:24">
      <c r="A720" s="259" t="s">
        <v>383</v>
      </c>
      <c r="B720" s="304" t="s">
        <v>483</v>
      </c>
      <c r="C720" s="304" t="s">
        <v>484</v>
      </c>
      <c r="D720" s="306">
        <v>2000</v>
      </c>
      <c r="E720" s="307">
        <v>2001</v>
      </c>
      <c r="F720" s="307">
        <v>2002</v>
      </c>
      <c r="G720" s="307">
        <v>2003</v>
      </c>
      <c r="H720" s="307">
        <v>2004</v>
      </c>
      <c r="I720" s="307">
        <v>2005</v>
      </c>
      <c r="J720" s="307">
        <v>2006</v>
      </c>
      <c r="K720" s="307">
        <v>2007</v>
      </c>
      <c r="L720" s="307">
        <v>2008</v>
      </c>
      <c r="M720" s="307">
        <v>2009</v>
      </c>
      <c r="N720" s="308">
        <v>2010</v>
      </c>
      <c r="O720" s="256">
        <v>2011</v>
      </c>
      <c r="P720" s="256">
        <v>2012</v>
      </c>
      <c r="Q720" s="256">
        <v>2013</v>
      </c>
      <c r="R720" s="256">
        <v>2014</v>
      </c>
      <c r="S720" s="256">
        <v>2015</v>
      </c>
      <c r="T720" s="256">
        <v>2016</v>
      </c>
      <c r="U720" s="256">
        <v>2017</v>
      </c>
      <c r="V720" s="256">
        <v>2018</v>
      </c>
      <c r="W720" s="256">
        <v>2019</v>
      </c>
      <c r="X720" s="256">
        <v>2020</v>
      </c>
    </row>
    <row r="721" spans="1:24">
      <c r="A721" s="259" t="s">
        <v>381</v>
      </c>
      <c r="B721" s="305">
        <f>NPV(0.1,D721:Y721)</f>
        <v>587133.4111321813</v>
      </c>
      <c r="C721" s="305">
        <f>B721-B710</f>
        <v>0</v>
      </c>
      <c r="D721" s="309">
        <v>41364.1276</v>
      </c>
      <c r="E721" s="310">
        <v>53599.168868000001</v>
      </c>
      <c r="F721" s="310">
        <v>53676.461374039995</v>
      </c>
      <c r="G721" s="310">
        <v>65143.101439719816</v>
      </c>
      <c r="H721" s="310">
        <v>73806.689285054352</v>
      </c>
      <c r="I721" s="310">
        <v>75317.217318825977</v>
      </c>
      <c r="J721" s="310">
        <v>75252.785341236653</v>
      </c>
      <c r="K721" s="310">
        <v>75972.254192721084</v>
      </c>
      <c r="L721" s="310">
        <v>76688.273847830875</v>
      </c>
      <c r="M721" s="310">
        <v>77399.989832817198</v>
      </c>
      <c r="N721" s="311">
        <v>78106.499509783054</v>
      </c>
      <c r="O721" s="31">
        <v>78806.849955860729</v>
      </c>
      <c r="P721" s="31">
        <v>79500.035758487647</v>
      </c>
      <c r="Q721" s="31">
        <v>80184.996723655335</v>
      </c>
      <c r="R721" s="31">
        <v>80860.615493893827</v>
      </c>
      <c r="S721" s="31">
        <v>81525.715072638748</v>
      </c>
      <c r="T721" s="31">
        <v>82179.056251507223</v>
      </c>
      <c r="U721" s="31">
        <v>82819.334936885876</v>
      </c>
      <c r="V721" s="31">
        <v>83445.179372104292</v>
      </c>
      <c r="W721" s="31">
        <v>82865.432394184551</v>
      </c>
      <c r="X721" s="31">
        <v>35526.302372602433</v>
      </c>
    </row>
    <row r="722" spans="1:24">
      <c r="A722" s="260" t="s">
        <v>382</v>
      </c>
      <c r="B722" s="305">
        <f>NPV(0.1,D722:Y722)</f>
        <v>254736.15923967669</v>
      </c>
      <c r="C722" s="305">
        <f>B722-B711</f>
        <v>-0.68631145084509626</v>
      </c>
      <c r="D722" s="309">
        <v>26190.084158232417</v>
      </c>
      <c r="E722" s="310">
        <v>27268.078755779126</v>
      </c>
      <c r="F722" s="310">
        <v>27418.69368770218</v>
      </c>
      <c r="G722" s="310">
        <v>28975.653459047106</v>
      </c>
      <c r="H722" s="310">
        <v>29953.077907434665</v>
      </c>
      <c r="I722" s="310">
        <v>30094.175347326065</v>
      </c>
      <c r="J722" s="310">
        <v>30282.793768480755</v>
      </c>
      <c r="K722" s="310">
        <v>30477.070742270087</v>
      </c>
      <c r="L722" s="310">
        <v>30677.176025273104</v>
      </c>
      <c r="M722" s="310">
        <v>30841.257225924892</v>
      </c>
      <c r="N722" s="311">
        <v>31053.548920662786</v>
      </c>
      <c r="O722" s="31">
        <v>31272.20936624282</v>
      </c>
      <c r="P722" s="31">
        <v>31497.429625190252</v>
      </c>
      <c r="Q722" s="31">
        <v>31687.379251064798</v>
      </c>
      <c r="R722" s="31">
        <v>31926.315423782129</v>
      </c>
      <c r="S722" s="31">
        <v>32172.419681680982</v>
      </c>
      <c r="T722" s="31">
        <v>32425.907067316799</v>
      </c>
      <c r="U722" s="31">
        <v>32644.971833680374</v>
      </c>
      <c r="V722" s="31">
        <v>32913.896601101413</v>
      </c>
      <c r="W722" s="31">
        <v>33190.889111545082</v>
      </c>
      <c r="X722" s="31">
        <v>16231.040467753652</v>
      </c>
    </row>
    <row r="723" spans="1:24">
      <c r="A723" s="260" t="s">
        <v>35</v>
      </c>
      <c r="B723" s="305">
        <f>NPV(0.1,D723:Y723)</f>
        <v>115358.63154081277</v>
      </c>
      <c r="C723" s="305">
        <f>B723-B712</f>
        <v>11.45470120961545</v>
      </c>
      <c r="D723" s="309">
        <v>-2231.5211811319191</v>
      </c>
      <c r="E723" s="310">
        <v>3380.5289256943465</v>
      </c>
      <c r="F723" s="310">
        <v>3635.9346651104697</v>
      </c>
      <c r="G723" s="310">
        <v>10113.924394966058</v>
      </c>
      <c r="H723" s="310">
        <v>15357.881640859829</v>
      </c>
      <c r="I723" s="310">
        <v>16618.937127724981</v>
      </c>
      <c r="J723" s="310">
        <v>16866.444084745141</v>
      </c>
      <c r="K723" s="310">
        <v>17582.071917052028</v>
      </c>
      <c r="L723" s="310">
        <v>18292.032384444225</v>
      </c>
      <c r="M723" s="310">
        <v>19269.87174432067</v>
      </c>
      <c r="N723" s="311">
        <v>20388.09826645963</v>
      </c>
      <c r="O723" s="31">
        <v>20877.417318238509</v>
      </c>
      <c r="P723" s="31">
        <v>21407.119563385808</v>
      </c>
      <c r="Q723" s="31">
        <v>21953.343317649036</v>
      </c>
      <c r="R723" s="31">
        <v>22463.93569864181</v>
      </c>
      <c r="S723" s="31">
        <v>22963.723424190241</v>
      </c>
      <c r="T723" s="31">
        <v>23451.81813366049</v>
      </c>
      <c r="U723" s="31">
        <v>24196.796510913446</v>
      </c>
      <c r="V723" s="31">
        <v>25000.033503661212</v>
      </c>
      <c r="W723" s="31">
        <v>25208.181779310387</v>
      </c>
      <c r="X723" s="31">
        <v>7479.3810660488707</v>
      </c>
    </row>
    <row r="724" spans="1:24">
      <c r="A724" s="260" t="s">
        <v>32</v>
      </c>
      <c r="B724" s="305">
        <f>NPV(0.1,D724:Y724)</f>
        <v>122575.43299311686</v>
      </c>
      <c r="C724" s="305">
        <f>B724-B713</f>
        <v>-13.202577854055562</v>
      </c>
      <c r="D724" s="312">
        <v>-6446.8521081993586</v>
      </c>
      <c r="E724" s="313">
        <v>5572.459363623635</v>
      </c>
      <c r="F724" s="313">
        <v>3275.2861324170372</v>
      </c>
      <c r="G724" s="313">
        <v>11291.845005431125</v>
      </c>
      <c r="H724" s="313">
        <v>25400.504869839933</v>
      </c>
      <c r="I724" s="313">
        <v>22139.020803290528</v>
      </c>
      <c r="J724" s="313">
        <v>18338.314700797335</v>
      </c>
      <c r="K724" s="313">
        <v>19063.382776642327</v>
      </c>
      <c r="L724" s="313">
        <v>14322.903000496419</v>
      </c>
      <c r="M724" s="313">
        <v>11559.515363069646</v>
      </c>
      <c r="N724" s="314">
        <v>26312.828882511822</v>
      </c>
      <c r="O724" s="31">
        <v>25823.44817782881</v>
      </c>
      <c r="P724" s="31">
        <v>26343.710179437992</v>
      </c>
      <c r="Q724" s="31">
        <v>26857.346936398022</v>
      </c>
      <c r="R724" s="31">
        <v>27400.526314693998</v>
      </c>
      <c r="S724" s="31">
        <v>25115.442196499687</v>
      </c>
      <c r="T724" s="31">
        <v>17877.965062227187</v>
      </c>
      <c r="U724" s="31">
        <v>16604.636198638829</v>
      </c>
      <c r="V724" s="31">
        <v>14485.480432227912</v>
      </c>
      <c r="W724" s="31">
        <v>12717.348707877085</v>
      </c>
      <c r="X724" s="31">
        <v>11786.927994615571</v>
      </c>
    </row>
    <row r="727" spans="1:24">
      <c r="A727" s="1037" t="s">
        <v>687</v>
      </c>
    </row>
    <row r="728" spans="1:24">
      <c r="A728" s="261">
        <v>36481</v>
      </c>
    </row>
    <row r="729" spans="1:24">
      <c r="A729" s="254" t="s">
        <v>379</v>
      </c>
      <c r="B729" s="255">
        <v>48004.552242404119</v>
      </c>
      <c r="C729" s="256"/>
      <c r="D729" s="256"/>
      <c r="E729" s="256"/>
      <c r="F729" s="256"/>
      <c r="G729" s="256"/>
      <c r="H729" s="256"/>
      <c r="I729" s="256"/>
      <c r="J729" s="256"/>
      <c r="K729" s="256"/>
      <c r="L729" s="256"/>
      <c r="M729" s="256"/>
      <c r="N729" s="256"/>
      <c r="O729" s="256"/>
      <c r="P729" s="256"/>
      <c r="Q729" s="256"/>
      <c r="R729" s="256"/>
      <c r="S729" s="256"/>
      <c r="T729" s="256"/>
      <c r="U729" s="256"/>
      <c r="V729" s="256"/>
    </row>
    <row r="730" spans="1:24">
      <c r="A730" s="257" t="s">
        <v>380</v>
      </c>
      <c r="B730" s="258">
        <v>92105.001362740208</v>
      </c>
      <c r="C730" s="256"/>
      <c r="D730" s="256"/>
      <c r="E730" s="256"/>
      <c r="F730" s="256"/>
      <c r="G730" s="256"/>
      <c r="H730" s="256"/>
      <c r="I730" s="256"/>
      <c r="J730" s="256"/>
      <c r="K730" s="256"/>
      <c r="L730" s="256"/>
      <c r="M730" s="256"/>
      <c r="N730" s="256"/>
      <c r="O730" s="256"/>
      <c r="P730" s="256"/>
      <c r="Q730" s="256"/>
      <c r="R730" s="256"/>
      <c r="S730" s="256"/>
      <c r="T730" s="256"/>
      <c r="U730" s="256"/>
      <c r="V730" s="256"/>
    </row>
    <row r="731" spans="1:24">
      <c r="A731" s="259" t="s">
        <v>383</v>
      </c>
      <c r="B731" s="304" t="s">
        <v>483</v>
      </c>
      <c r="C731" s="304" t="s">
        <v>484</v>
      </c>
      <c r="D731" s="306">
        <v>2000</v>
      </c>
      <c r="E731" s="307">
        <v>2001</v>
      </c>
      <c r="F731" s="307">
        <v>2002</v>
      </c>
      <c r="G731" s="307">
        <v>2003</v>
      </c>
      <c r="H731" s="307">
        <v>2004</v>
      </c>
      <c r="I731" s="307">
        <v>2005</v>
      </c>
      <c r="J731" s="307">
        <v>2006</v>
      </c>
      <c r="K731" s="307">
        <v>2007</v>
      </c>
      <c r="L731" s="307">
        <v>2008</v>
      </c>
      <c r="M731" s="307">
        <v>2009</v>
      </c>
      <c r="N731" s="308">
        <v>2010</v>
      </c>
      <c r="O731" s="256">
        <v>2011</v>
      </c>
      <c r="P731" s="256">
        <v>2012</v>
      </c>
      <c r="Q731" s="256">
        <v>2013</v>
      </c>
      <c r="R731" s="256">
        <v>2014</v>
      </c>
      <c r="S731" s="256">
        <v>2015</v>
      </c>
      <c r="T731" s="256">
        <v>2016</v>
      </c>
      <c r="U731" s="256">
        <v>2017</v>
      </c>
      <c r="V731" s="256">
        <v>2018</v>
      </c>
      <c r="W731" s="256">
        <v>2019</v>
      </c>
      <c r="X731" s="256">
        <v>2020</v>
      </c>
    </row>
    <row r="732" spans="1:24">
      <c r="A732" s="259" t="s">
        <v>381</v>
      </c>
      <c r="B732" s="305">
        <f>NPV(0.1,D732:Y732)</f>
        <v>587133.4111321813</v>
      </c>
      <c r="C732" s="305">
        <f>B732-B721</f>
        <v>0</v>
      </c>
      <c r="D732" s="309">
        <v>41364.1276</v>
      </c>
      <c r="E732" s="310">
        <v>53599.168868000001</v>
      </c>
      <c r="F732" s="310">
        <v>53676.461374039995</v>
      </c>
      <c r="G732" s="310">
        <v>65143.101439719816</v>
      </c>
      <c r="H732" s="310">
        <v>73806.689285054352</v>
      </c>
      <c r="I732" s="310">
        <v>75317.217318825977</v>
      </c>
      <c r="J732" s="310">
        <v>75252.785341236653</v>
      </c>
      <c r="K732" s="310">
        <v>75972.254192721084</v>
      </c>
      <c r="L732" s="310">
        <v>76688.273847830875</v>
      </c>
      <c r="M732" s="310">
        <v>77399.989832817198</v>
      </c>
      <c r="N732" s="311">
        <v>78106.499509783054</v>
      </c>
      <c r="O732" s="31">
        <v>78806.849955860729</v>
      </c>
      <c r="P732" s="31">
        <v>79500.035758487647</v>
      </c>
      <c r="Q732" s="31">
        <v>80184.996723655335</v>
      </c>
      <c r="R732" s="31">
        <v>80860.615493893827</v>
      </c>
      <c r="S732" s="31">
        <v>81525.715072638748</v>
      </c>
      <c r="T732" s="31">
        <v>82179.056251507223</v>
      </c>
      <c r="U732" s="31">
        <v>82819.334936885876</v>
      </c>
      <c r="V732" s="31">
        <v>83445.179372104292</v>
      </c>
      <c r="W732" s="31">
        <v>82865.432394184551</v>
      </c>
      <c r="X732" s="31">
        <v>35526.302372602433</v>
      </c>
    </row>
    <row r="733" spans="1:24">
      <c r="A733" s="260" t="s">
        <v>382</v>
      </c>
      <c r="B733" s="305">
        <f>NPV(0.1,D733:Y733)</f>
        <v>254736.16895283337</v>
      </c>
      <c r="C733" s="305">
        <f>B733-B722</f>
        <v>9.7131566726602614E-3</v>
      </c>
      <c r="D733" s="309">
        <v>26190.085758732417</v>
      </c>
      <c r="E733" s="310">
        <v>27268.079822779124</v>
      </c>
      <c r="F733" s="310">
        <v>27418.694754702177</v>
      </c>
      <c r="G733" s="310">
        <v>28975.654526047103</v>
      </c>
      <c r="H733" s="310">
        <v>29953.078974434662</v>
      </c>
      <c r="I733" s="310">
        <v>30094.176414326063</v>
      </c>
      <c r="J733" s="310">
        <v>30282.794835480752</v>
      </c>
      <c r="K733" s="310">
        <v>30477.071809270084</v>
      </c>
      <c r="L733" s="310">
        <v>30677.177092273101</v>
      </c>
      <c r="M733" s="310">
        <v>30841.258292924889</v>
      </c>
      <c r="N733" s="311">
        <v>31053.549987662784</v>
      </c>
      <c r="O733" s="31">
        <v>31272.210433242817</v>
      </c>
      <c r="P733" s="31">
        <v>31497.43069219025</v>
      </c>
      <c r="Q733" s="31">
        <v>31687.380318064796</v>
      </c>
      <c r="R733" s="31">
        <v>31926.316490782126</v>
      </c>
      <c r="S733" s="31">
        <v>32172.420748680979</v>
      </c>
      <c r="T733" s="31">
        <v>32425.908134316796</v>
      </c>
      <c r="U733" s="31">
        <v>32644.972900680372</v>
      </c>
      <c r="V733" s="31">
        <v>32913.897668101417</v>
      </c>
      <c r="W733" s="31">
        <v>33190.890178545087</v>
      </c>
      <c r="X733" s="31">
        <v>16231.041534753653</v>
      </c>
    </row>
    <row r="734" spans="1:24">
      <c r="A734" s="260" t="s">
        <v>35</v>
      </c>
      <c r="B734" s="305">
        <f>NPV(0.1,D734:Y734)</f>
        <v>115330.42456163222</v>
      </c>
      <c r="C734" s="305">
        <f>B734-B723</f>
        <v>-28.206979180555209</v>
      </c>
      <c r="D734" s="309">
        <v>-2263.0965102815053</v>
      </c>
      <c r="E734" s="310">
        <v>3380.4078130265252</v>
      </c>
      <c r="F734" s="310">
        <v>3635.8135524426489</v>
      </c>
      <c r="G734" s="310">
        <v>10113.803282298237</v>
      </c>
      <c r="H734" s="310">
        <v>15357.760528192006</v>
      </c>
      <c r="I734" s="310">
        <v>16618.997124667654</v>
      </c>
      <c r="J734" s="310">
        <v>16866.633445695319</v>
      </c>
      <c r="K734" s="310">
        <v>17582.261278002203</v>
      </c>
      <c r="L734" s="310">
        <v>18292.221745394403</v>
      </c>
      <c r="M734" s="310">
        <v>19270.061105270848</v>
      </c>
      <c r="N734" s="311">
        <v>20388.287627409798</v>
      </c>
      <c r="O734" s="31">
        <v>20877.606679188691</v>
      </c>
      <c r="P734" s="31">
        <v>21407.308924335986</v>
      </c>
      <c r="Q734" s="31">
        <v>21953.532678599211</v>
      </c>
      <c r="R734" s="31">
        <v>22464.125059591981</v>
      </c>
      <c r="S734" s="31">
        <v>22963.912785140419</v>
      </c>
      <c r="T734" s="31">
        <v>23452.007494610669</v>
      </c>
      <c r="U734" s="31">
        <v>24196.985871863624</v>
      </c>
      <c r="V734" s="31">
        <v>25000.222864611384</v>
      </c>
      <c r="W734" s="31">
        <v>25208.371140260559</v>
      </c>
      <c r="X734" s="31">
        <v>7479.5704269990456</v>
      </c>
    </row>
    <row r="735" spans="1:24">
      <c r="A735" s="260" t="s">
        <v>32</v>
      </c>
      <c r="B735" s="305">
        <f>NPV(0.1,D735:Y735)</f>
        <v>122538.36641538957</v>
      </c>
      <c r="C735" s="305">
        <f>B735-B724</f>
        <v>-37.066577727295225</v>
      </c>
      <c r="D735" s="312">
        <v>-6499.0707287056102</v>
      </c>
      <c r="E735" s="313">
        <v>5572.4582832861379</v>
      </c>
      <c r="F735" s="313">
        <v>3275.28505207954</v>
      </c>
      <c r="G735" s="313">
        <v>11291.843925093621</v>
      </c>
      <c r="H735" s="313">
        <v>25400.503789502436</v>
      </c>
      <c r="I735" s="313">
        <v>22158.927539233704</v>
      </c>
      <c r="J735" s="313">
        <v>18338.068358739372</v>
      </c>
      <c r="K735" s="313">
        <v>19063.136018160199</v>
      </c>
      <c r="L735" s="313">
        <v>14322.656658438455</v>
      </c>
      <c r="M735" s="313">
        <v>11559.268604587516</v>
      </c>
      <c r="N735" s="314">
        <v>26312.582540453848</v>
      </c>
      <c r="O735" s="31">
        <v>25823.201419346689</v>
      </c>
      <c r="P735" s="31">
        <v>26343.463837380034</v>
      </c>
      <c r="Q735" s="31">
        <v>26857.100177915887</v>
      </c>
      <c r="R735" s="31">
        <v>27400.279972636024</v>
      </c>
      <c r="S735" s="31">
        <v>25115.3186995707</v>
      </c>
      <c r="T735" s="31">
        <v>17877.964410427168</v>
      </c>
      <c r="U735" s="31">
        <v>16604.635546838814</v>
      </c>
      <c r="V735" s="31">
        <v>14485.479780427886</v>
      </c>
      <c r="W735" s="31">
        <v>12717.348056077059</v>
      </c>
      <c r="X735" s="31">
        <v>11786.927342815545</v>
      </c>
    </row>
    <row r="738" spans="1:24">
      <c r="A738" s="1037" t="s">
        <v>687</v>
      </c>
    </row>
    <row r="739" spans="1:24">
      <c r="A739" s="261">
        <v>36494</v>
      </c>
    </row>
    <row r="740" spans="1:24">
      <c r="A740" s="254" t="s">
        <v>379</v>
      </c>
      <c r="B740" s="255">
        <v>40291.32158318055</v>
      </c>
      <c r="C740" s="256"/>
      <c r="D740" s="256"/>
      <c r="E740" s="256"/>
      <c r="F740" s="256"/>
      <c r="G740" s="256"/>
      <c r="H740" s="256"/>
      <c r="I740" s="256"/>
      <c r="J740" s="256"/>
      <c r="K740" s="256"/>
      <c r="L740" s="256"/>
      <c r="M740" s="256"/>
      <c r="N740" s="256"/>
      <c r="O740" s="256"/>
      <c r="P740" s="256"/>
      <c r="Q740" s="256"/>
      <c r="R740" s="256"/>
      <c r="S740" s="256"/>
      <c r="T740" s="256"/>
      <c r="U740" s="256"/>
      <c r="V740" s="256"/>
    </row>
    <row r="741" spans="1:24">
      <c r="A741" s="257" t="s">
        <v>380</v>
      </c>
      <c r="B741" s="258">
        <v>82894.512558956514</v>
      </c>
      <c r="C741" s="256"/>
      <c r="D741" s="256"/>
      <c r="E741" s="256"/>
      <c r="F741" s="256"/>
      <c r="G741" s="256"/>
      <c r="H741" s="256"/>
      <c r="I741" s="256"/>
      <c r="J741" s="256"/>
      <c r="K741" s="256"/>
      <c r="L741" s="256"/>
      <c r="M741" s="256"/>
      <c r="N741" s="256"/>
      <c r="O741" s="256"/>
      <c r="P741" s="256"/>
      <c r="Q741" s="256"/>
      <c r="R741" s="256"/>
      <c r="S741" s="256"/>
      <c r="T741" s="256"/>
      <c r="U741" s="256"/>
      <c r="V741" s="256"/>
    </row>
    <row r="742" spans="1:24">
      <c r="A742" s="259" t="s">
        <v>383</v>
      </c>
      <c r="B742" s="304" t="s">
        <v>483</v>
      </c>
      <c r="C742" s="304" t="s">
        <v>484</v>
      </c>
      <c r="D742" s="306">
        <v>2000</v>
      </c>
      <c r="E742" s="307">
        <v>2001</v>
      </c>
      <c r="F742" s="307">
        <v>2002</v>
      </c>
      <c r="G742" s="307">
        <v>2003</v>
      </c>
      <c r="H742" s="307">
        <v>2004</v>
      </c>
      <c r="I742" s="307">
        <v>2005</v>
      </c>
      <c r="J742" s="307">
        <v>2006</v>
      </c>
      <c r="K742" s="307">
        <v>2007</v>
      </c>
      <c r="L742" s="307">
        <v>2008</v>
      </c>
      <c r="M742" s="307">
        <v>2009</v>
      </c>
      <c r="N742" s="308">
        <v>2010</v>
      </c>
      <c r="O742" s="256">
        <v>2011</v>
      </c>
      <c r="P742" s="256">
        <v>2012</v>
      </c>
      <c r="Q742" s="256">
        <v>2013</v>
      </c>
      <c r="R742" s="256">
        <v>2014</v>
      </c>
      <c r="S742" s="256">
        <v>2015</v>
      </c>
      <c r="T742" s="256">
        <v>2016</v>
      </c>
      <c r="U742" s="256">
        <v>2017</v>
      </c>
      <c r="V742" s="256">
        <v>2018</v>
      </c>
      <c r="W742" s="256">
        <v>2019</v>
      </c>
      <c r="X742" s="256">
        <v>2020</v>
      </c>
    </row>
    <row r="743" spans="1:24">
      <c r="A743" s="259" t="s">
        <v>381</v>
      </c>
      <c r="B743" s="305">
        <f>NPV(0.1,D743:Y743)</f>
        <v>587133.4111321813</v>
      </c>
      <c r="C743" s="305">
        <f>B743-B732</f>
        <v>0</v>
      </c>
      <c r="D743" s="309">
        <v>41364.1276</v>
      </c>
      <c r="E743" s="310">
        <v>53599.168868000001</v>
      </c>
      <c r="F743" s="310">
        <v>53676.461374039995</v>
      </c>
      <c r="G743" s="310">
        <v>65143.101439719816</v>
      </c>
      <c r="H743" s="310">
        <v>73806.689285054352</v>
      </c>
      <c r="I743" s="310">
        <v>75317.217318825977</v>
      </c>
      <c r="J743" s="310">
        <v>75252.785341236653</v>
      </c>
      <c r="K743" s="310">
        <v>75972.254192721084</v>
      </c>
      <c r="L743" s="310">
        <v>76688.273847830875</v>
      </c>
      <c r="M743" s="310">
        <v>77399.989832817198</v>
      </c>
      <c r="N743" s="311">
        <v>78106.499509783054</v>
      </c>
      <c r="O743" s="31">
        <v>78806.849955860729</v>
      </c>
      <c r="P743" s="31">
        <v>79500.035758487647</v>
      </c>
      <c r="Q743" s="31">
        <v>80184.996723655335</v>
      </c>
      <c r="R743" s="31">
        <v>80860.615493893827</v>
      </c>
      <c r="S743" s="31">
        <v>81525.715072638748</v>
      </c>
      <c r="T743" s="31">
        <v>82179.056251507223</v>
      </c>
      <c r="U743" s="31">
        <v>82819.334936885876</v>
      </c>
      <c r="V743" s="31">
        <v>83445.179372104292</v>
      </c>
      <c r="W743" s="31">
        <v>82865.432394184551</v>
      </c>
      <c r="X743" s="31">
        <v>35526.302372602433</v>
      </c>
    </row>
    <row r="744" spans="1:24">
      <c r="A744" s="260" t="s">
        <v>382</v>
      </c>
      <c r="B744" s="305">
        <f>NPV(0.1,D744:Y744)</f>
        <v>254816.65799577613</v>
      </c>
      <c r="C744" s="305">
        <f>B744-B733</f>
        <v>80.489042942761444</v>
      </c>
      <c r="D744" s="309">
        <v>26203.430422737056</v>
      </c>
      <c r="E744" s="310">
        <v>27276.856936783763</v>
      </c>
      <c r="F744" s="310">
        <v>27427.471868706816</v>
      </c>
      <c r="G744" s="310">
        <v>28984.431640051742</v>
      </c>
      <c r="H744" s="310">
        <v>29961.856088439301</v>
      </c>
      <c r="I744" s="310">
        <v>30102.996486650143</v>
      </c>
      <c r="J744" s="310">
        <v>30291.614907804833</v>
      </c>
      <c r="K744" s="310">
        <v>30485.891881594165</v>
      </c>
      <c r="L744" s="310">
        <v>30685.997164597182</v>
      </c>
      <c r="M744" s="310">
        <v>30850.121323568412</v>
      </c>
      <c r="N744" s="311">
        <v>31062.413018306306</v>
      </c>
      <c r="O744" s="31">
        <v>31281.07346388634</v>
      </c>
      <c r="P744" s="31">
        <v>31506.293722833772</v>
      </c>
      <c r="Q744" s="31">
        <v>31696.28630702776</v>
      </c>
      <c r="R744" s="31">
        <v>31935.222479745091</v>
      </c>
      <c r="S744" s="31">
        <v>32181.326737643943</v>
      </c>
      <c r="T744" s="31">
        <v>32434.814123279761</v>
      </c>
      <c r="U744" s="31">
        <v>32653.921847962785</v>
      </c>
      <c r="V744" s="31">
        <v>32922.846615383831</v>
      </c>
      <c r="W744" s="31">
        <v>33199.839125827501</v>
      </c>
      <c r="X744" s="31">
        <v>16239.990482036063</v>
      </c>
    </row>
    <row r="745" spans="1:24">
      <c r="A745" s="260" t="s">
        <v>35</v>
      </c>
      <c r="B745" s="305">
        <f>NPV(0.1,D745:Y745)</f>
        <v>113890.65353306045</v>
      </c>
      <c r="C745" s="305">
        <f>B745-B734</f>
        <v>-1439.7710285717621</v>
      </c>
      <c r="D745" s="309">
        <v>-2372.4830702896979</v>
      </c>
      <c r="E745" s="310">
        <v>3201.5009515501006</v>
      </c>
      <c r="F745" s="310">
        <v>3456.9066909662238</v>
      </c>
      <c r="G745" s="310">
        <v>9934.8964208218094</v>
      </c>
      <c r="H745" s="310">
        <v>15178.85366671558</v>
      </c>
      <c r="I745" s="310">
        <v>16445.692004078825</v>
      </c>
      <c r="J745" s="310">
        <v>16697.348312896494</v>
      </c>
      <c r="K745" s="310">
        <v>17412.976145203374</v>
      </c>
      <c r="L745" s="310">
        <v>18122.936612595578</v>
      </c>
      <c r="M745" s="310">
        <v>19100.749730453615</v>
      </c>
      <c r="N745" s="311">
        <v>20218.976252592573</v>
      </c>
      <c r="O745" s="31">
        <v>20708.295304371459</v>
      </c>
      <c r="P745" s="31">
        <v>21237.997549518757</v>
      </c>
      <c r="Q745" s="31">
        <v>21784.19506176357</v>
      </c>
      <c r="R745" s="31">
        <v>22294.787442756351</v>
      </c>
      <c r="S745" s="31">
        <v>22794.575168304778</v>
      </c>
      <c r="T745" s="31">
        <v>23282.669877775028</v>
      </c>
      <c r="U745" s="31">
        <v>24027.622013009575</v>
      </c>
      <c r="V745" s="31">
        <v>24830.859005757338</v>
      </c>
      <c r="W745" s="31">
        <v>25039.00728140651</v>
      </c>
      <c r="X745" s="31">
        <v>7310.2065681450022</v>
      </c>
    </row>
    <row r="746" spans="1:24">
      <c r="A746" s="260" t="s">
        <v>32</v>
      </c>
      <c r="B746" s="305">
        <f>NPV(0.1,D746:Y746)</f>
        <v>124105.57685390649</v>
      </c>
      <c r="C746" s="305">
        <f>B746-B735</f>
        <v>1567.2104385169223</v>
      </c>
      <c r="D746" s="312">
        <v>-6512.9401870056681</v>
      </c>
      <c r="E746" s="313">
        <v>5563.5714553564394</v>
      </c>
      <c r="F746" s="313">
        <v>3266.3982241498416</v>
      </c>
      <c r="G746" s="313">
        <v>11282.957097163926</v>
      </c>
      <c r="H746" s="313">
        <v>25391.616961572741</v>
      </c>
      <c r="I746" s="313">
        <v>23781.963893456283</v>
      </c>
      <c r="J746" s="313">
        <v>18544.602761084461</v>
      </c>
      <c r="K746" s="313">
        <v>19270.02961090234</v>
      </c>
      <c r="L746" s="313">
        <v>14529.191060783547</v>
      </c>
      <c r="M746" s="313">
        <v>11766.178913630712</v>
      </c>
      <c r="N746" s="314">
        <v>26519.090700780544</v>
      </c>
      <c r="O746" s="31">
        <v>26030.068770070426</v>
      </c>
      <c r="P746" s="31">
        <v>26549.971997706729</v>
      </c>
      <c r="Q746" s="31">
        <v>27063.984244940657</v>
      </c>
      <c r="R746" s="31">
        <v>27606.761890944326</v>
      </c>
      <c r="S746" s="31">
        <v>25215.839450749816</v>
      </c>
      <c r="T746" s="31">
        <v>17872.523994477127</v>
      </c>
      <c r="U746" s="31">
        <v>16599.211847189807</v>
      </c>
      <c r="V746" s="31">
        <v>14480.013122459441</v>
      </c>
      <c r="W746" s="31">
        <v>12711.88139810861</v>
      </c>
      <c r="X746" s="31">
        <v>11781.460684847101</v>
      </c>
    </row>
    <row r="749" spans="1:24">
      <c r="A749" s="1037" t="s">
        <v>688</v>
      </c>
    </row>
    <row r="750" spans="1:24">
      <c r="A750" s="261">
        <v>36509</v>
      </c>
    </row>
    <row r="751" spans="1:24">
      <c r="A751" s="254" t="s">
        <v>379</v>
      </c>
      <c r="B751" s="255">
        <v>39929.891931405044</v>
      </c>
      <c r="C751" s="256"/>
      <c r="D751" s="256"/>
      <c r="E751" s="256"/>
      <c r="F751" s="256"/>
      <c r="G751" s="256"/>
      <c r="H751" s="256"/>
      <c r="I751" s="256"/>
      <c r="J751" s="256"/>
      <c r="K751" s="256"/>
      <c r="L751" s="256"/>
      <c r="M751" s="256"/>
      <c r="N751" s="256"/>
      <c r="O751" s="256"/>
      <c r="P751" s="256"/>
      <c r="Q751" s="256"/>
      <c r="R751" s="256"/>
      <c r="S751" s="256"/>
      <c r="T751" s="256"/>
      <c r="U751" s="256"/>
      <c r="V751" s="256"/>
    </row>
    <row r="752" spans="1:24">
      <c r="A752" s="257" t="s">
        <v>380</v>
      </c>
      <c r="B752" s="258">
        <v>82442.479834335143</v>
      </c>
      <c r="C752" s="256"/>
      <c r="D752" s="256"/>
      <c r="E752" s="256"/>
      <c r="F752" s="256"/>
      <c r="G752" s="256"/>
      <c r="H752" s="256"/>
      <c r="I752" s="256"/>
      <c r="J752" s="256"/>
      <c r="K752" s="256"/>
      <c r="L752" s="256"/>
      <c r="M752" s="256"/>
      <c r="N752" s="256"/>
      <c r="O752" s="256"/>
      <c r="P752" s="256"/>
      <c r="Q752" s="256"/>
      <c r="R752" s="256"/>
      <c r="S752" s="256"/>
      <c r="T752" s="256"/>
      <c r="U752" s="256"/>
      <c r="V752" s="256"/>
    </row>
    <row r="753" spans="1:24">
      <c r="A753" s="259" t="s">
        <v>383</v>
      </c>
      <c r="B753" s="304" t="s">
        <v>483</v>
      </c>
      <c r="C753" s="304" t="s">
        <v>484</v>
      </c>
      <c r="D753" s="306">
        <v>2000</v>
      </c>
      <c r="E753" s="307">
        <v>2001</v>
      </c>
      <c r="F753" s="307">
        <v>2002</v>
      </c>
      <c r="G753" s="307">
        <v>2003</v>
      </c>
      <c r="H753" s="307">
        <v>2004</v>
      </c>
      <c r="I753" s="307">
        <v>2005</v>
      </c>
      <c r="J753" s="307">
        <v>2006</v>
      </c>
      <c r="K753" s="307">
        <v>2007</v>
      </c>
      <c r="L753" s="307">
        <v>2008</v>
      </c>
      <c r="M753" s="307">
        <v>2009</v>
      </c>
      <c r="N753" s="308">
        <v>2010</v>
      </c>
      <c r="O753" s="256">
        <v>2011</v>
      </c>
      <c r="P753" s="256">
        <v>2012</v>
      </c>
      <c r="Q753" s="256">
        <v>2013</v>
      </c>
      <c r="R753" s="256">
        <v>2014</v>
      </c>
      <c r="S753" s="256">
        <v>2015</v>
      </c>
      <c r="T753" s="256">
        <v>2016</v>
      </c>
      <c r="U753" s="256">
        <v>2017</v>
      </c>
      <c r="V753" s="256">
        <v>2018</v>
      </c>
      <c r="W753" s="256">
        <v>2019</v>
      </c>
      <c r="X753" s="256">
        <v>2020</v>
      </c>
    </row>
    <row r="754" spans="1:24">
      <c r="A754" s="259" t="s">
        <v>381</v>
      </c>
      <c r="B754" s="305">
        <f>NPV(0.1,D754:Y754)</f>
        <v>587133.4111321813</v>
      </c>
      <c r="C754" s="305">
        <f>B754-B743</f>
        <v>0</v>
      </c>
      <c r="D754" s="309">
        <v>41364.1276</v>
      </c>
      <c r="E754" s="310">
        <v>53599.168868000001</v>
      </c>
      <c r="F754" s="310">
        <v>53676.461374039995</v>
      </c>
      <c r="G754" s="310">
        <v>65143.101439719816</v>
      </c>
      <c r="H754" s="310">
        <v>73806.689285054352</v>
      </c>
      <c r="I754" s="310">
        <v>75317.217318825977</v>
      </c>
      <c r="J754" s="310">
        <v>75252.785341236653</v>
      </c>
      <c r="K754" s="310">
        <v>75972.254192721084</v>
      </c>
      <c r="L754" s="310">
        <v>76688.273847830875</v>
      </c>
      <c r="M754" s="310">
        <v>77399.989832817198</v>
      </c>
      <c r="N754" s="311">
        <v>78106.499509783054</v>
      </c>
      <c r="O754" s="31">
        <v>78806.849955860729</v>
      </c>
      <c r="P754" s="31">
        <v>79500.035758487647</v>
      </c>
      <c r="Q754" s="31">
        <v>80184.996723655335</v>
      </c>
      <c r="R754" s="31">
        <v>80860.615493893827</v>
      </c>
      <c r="S754" s="31">
        <v>81525.715072638748</v>
      </c>
      <c r="T754" s="31">
        <v>82179.056251507223</v>
      </c>
      <c r="U754" s="31">
        <v>82819.334936885876</v>
      </c>
      <c r="V754" s="31">
        <v>83445.179372104292</v>
      </c>
      <c r="W754" s="31">
        <v>82865.432394184551</v>
      </c>
      <c r="X754" s="31">
        <v>35526.302372602433</v>
      </c>
    </row>
    <row r="755" spans="1:24">
      <c r="A755" s="260" t="s">
        <v>382</v>
      </c>
      <c r="B755" s="305">
        <f>NPV(0.1,D755:Y755)</f>
        <v>254820.73828630772</v>
      </c>
      <c r="C755" s="305">
        <f>B755-B744</f>
        <v>4.0802905315940734</v>
      </c>
      <c r="D755" s="309">
        <v>26204.102758737055</v>
      </c>
      <c r="E755" s="310">
        <v>27277.305160783766</v>
      </c>
      <c r="F755" s="310">
        <v>27427.92009270682</v>
      </c>
      <c r="G755" s="310">
        <v>28984.879864051745</v>
      </c>
      <c r="H755" s="310">
        <v>29962.304312439304</v>
      </c>
      <c r="I755" s="310">
        <v>30103.444710650147</v>
      </c>
      <c r="J755" s="310">
        <v>30292.063131804836</v>
      </c>
      <c r="K755" s="310">
        <v>30486.340105594169</v>
      </c>
      <c r="L755" s="310">
        <v>30686.445388597185</v>
      </c>
      <c r="M755" s="310">
        <v>30850.569547568415</v>
      </c>
      <c r="N755" s="311">
        <v>31062.86124230631</v>
      </c>
      <c r="O755" s="31">
        <v>31281.521687886343</v>
      </c>
      <c r="P755" s="31">
        <v>31506.741946833776</v>
      </c>
      <c r="Q755" s="31">
        <v>31696.734531027763</v>
      </c>
      <c r="R755" s="31">
        <v>31935.670703745094</v>
      </c>
      <c r="S755" s="31">
        <v>32181.774961643947</v>
      </c>
      <c r="T755" s="31">
        <v>32435.262347279764</v>
      </c>
      <c r="U755" s="31">
        <v>32654.370071962789</v>
      </c>
      <c r="V755" s="31">
        <v>32923.294839383831</v>
      </c>
      <c r="W755" s="31">
        <v>33200.2873498275</v>
      </c>
      <c r="X755" s="31">
        <v>16240.438706036062</v>
      </c>
    </row>
    <row r="756" spans="1:24">
      <c r="A756" s="260" t="s">
        <v>35</v>
      </c>
      <c r="B756" s="305">
        <f>NPV(0.1,D756:Y756)</f>
        <v>113720.41249880118</v>
      </c>
      <c r="C756" s="305">
        <f>B756-B745</f>
        <v>-170.24103425927751</v>
      </c>
      <c r="D756" s="309">
        <v>-2398.3635890038377</v>
      </c>
      <c r="E756" s="310">
        <v>3157.5646166909564</v>
      </c>
      <c r="F756" s="310">
        <v>3412.9703561070796</v>
      </c>
      <c r="G756" s="310">
        <v>9890.9600859626644</v>
      </c>
      <c r="H756" s="310">
        <v>15134.917331856437</v>
      </c>
      <c r="I756" s="310">
        <v>16426.152534485176</v>
      </c>
      <c r="J756" s="310">
        <v>16695.235175635338</v>
      </c>
      <c r="K756" s="310">
        <v>17410.863007942233</v>
      </c>
      <c r="L756" s="310">
        <v>18120.82347533443</v>
      </c>
      <c r="M756" s="310">
        <v>19098.636593192467</v>
      </c>
      <c r="N756" s="311">
        <v>20216.863115331424</v>
      </c>
      <c r="O756" s="31">
        <v>20706.18216711031</v>
      </c>
      <c r="P756" s="31">
        <v>21235.884412257605</v>
      </c>
      <c r="Q756" s="31">
        <v>21782.081924502432</v>
      </c>
      <c r="R756" s="31">
        <v>22292.674305495195</v>
      </c>
      <c r="S756" s="31">
        <v>22792.462031043637</v>
      </c>
      <c r="T756" s="31">
        <v>23280.556740513879</v>
      </c>
      <c r="U756" s="31">
        <v>24025.508875748434</v>
      </c>
      <c r="V756" s="31">
        <v>24828.745868496193</v>
      </c>
      <c r="W756" s="31">
        <v>25036.894144145368</v>
      </c>
      <c r="X756" s="31">
        <v>7308.0934308838596</v>
      </c>
    </row>
    <row r="757" spans="1:24">
      <c r="A757" s="260" t="s">
        <v>32</v>
      </c>
      <c r="B757" s="305">
        <f>NPV(0.1,D757:Y757)</f>
        <v>124198.47402212351</v>
      </c>
      <c r="C757" s="305">
        <f>B757-B746</f>
        <v>92.897168217023136</v>
      </c>
      <c r="D757" s="312">
        <v>-6513.6209272056694</v>
      </c>
      <c r="E757" s="313">
        <v>5563.1176285564397</v>
      </c>
      <c r="F757" s="313">
        <v>3265.9443973498419</v>
      </c>
      <c r="G757" s="313">
        <v>11282.503270363915</v>
      </c>
      <c r="H757" s="313">
        <v>25391.163134772738</v>
      </c>
      <c r="I757" s="313">
        <v>23937.867327174135</v>
      </c>
      <c r="J757" s="313">
        <v>18546.707243883342</v>
      </c>
      <c r="K757" s="313">
        <v>19272.138124701429</v>
      </c>
      <c r="L757" s="313">
        <v>14531.295543582428</v>
      </c>
      <c r="M757" s="313">
        <v>11768.287427429799</v>
      </c>
      <c r="N757" s="314">
        <v>26521.195183579424</v>
      </c>
      <c r="O757" s="31">
        <v>26032.177283869503</v>
      </c>
      <c r="P757" s="31">
        <v>26552.076480505599</v>
      </c>
      <c r="Q757" s="31">
        <v>27066.09275873976</v>
      </c>
      <c r="R757" s="31">
        <v>27608.8663737432</v>
      </c>
      <c r="S757" s="31">
        <v>25216.754788487633</v>
      </c>
      <c r="T757" s="31">
        <v>17872.250187153877</v>
      </c>
      <c r="U757" s="31">
        <v>16598.93803986656</v>
      </c>
      <c r="V757" s="31">
        <v>14479.739315136194</v>
      </c>
      <c r="W757" s="31">
        <v>12711.60759078537</v>
      </c>
      <c r="X757" s="31">
        <v>11781.18687752386</v>
      </c>
    </row>
    <row r="760" spans="1:24">
      <c r="A760" s="1037" t="s">
        <v>690</v>
      </c>
    </row>
    <row r="761" spans="1:24">
      <c r="A761" s="261">
        <v>36529</v>
      </c>
    </row>
    <row r="762" spans="1:24">
      <c r="A762" s="254" t="s">
        <v>379</v>
      </c>
      <c r="B762" s="255">
        <v>36647.89551516444</v>
      </c>
      <c r="C762" s="256"/>
      <c r="D762" s="256"/>
      <c r="E762" s="256"/>
      <c r="F762" s="256"/>
      <c r="G762" s="256"/>
      <c r="H762" s="256"/>
      <c r="I762" s="256"/>
      <c r="J762" s="256"/>
      <c r="K762" s="256"/>
      <c r="L762" s="256"/>
      <c r="M762" s="256"/>
      <c r="N762" s="256"/>
      <c r="O762" s="256"/>
      <c r="P762" s="256"/>
      <c r="Q762" s="256"/>
      <c r="R762" s="256"/>
      <c r="S762" s="256"/>
      <c r="T762" s="256"/>
      <c r="U762" s="256"/>
      <c r="V762" s="256"/>
    </row>
    <row r="763" spans="1:24">
      <c r="A763" s="257" t="s">
        <v>380</v>
      </c>
      <c r="B763" s="258">
        <v>78518.858230403886</v>
      </c>
      <c r="C763" s="256"/>
      <c r="D763" s="256"/>
      <c r="E763" s="256"/>
      <c r="F763" s="256"/>
      <c r="G763" s="256"/>
      <c r="H763" s="256"/>
      <c r="I763" s="256"/>
      <c r="J763" s="256"/>
      <c r="K763" s="256"/>
      <c r="L763" s="256"/>
      <c r="M763" s="256"/>
      <c r="N763" s="256"/>
      <c r="O763" s="256"/>
      <c r="P763" s="256"/>
      <c r="Q763" s="256"/>
      <c r="R763" s="256"/>
      <c r="S763" s="256"/>
      <c r="T763" s="256"/>
      <c r="U763" s="256"/>
      <c r="V763" s="256"/>
    </row>
    <row r="764" spans="1:24">
      <c r="A764" s="259" t="s">
        <v>383</v>
      </c>
      <c r="B764" s="304" t="s">
        <v>483</v>
      </c>
      <c r="C764" s="304" t="s">
        <v>484</v>
      </c>
      <c r="D764" s="306">
        <v>2000</v>
      </c>
      <c r="E764" s="307">
        <v>2001</v>
      </c>
      <c r="F764" s="307">
        <v>2002</v>
      </c>
      <c r="G764" s="307">
        <v>2003</v>
      </c>
      <c r="H764" s="307">
        <v>2004</v>
      </c>
      <c r="I764" s="307">
        <v>2005</v>
      </c>
      <c r="J764" s="307">
        <v>2006</v>
      </c>
      <c r="K764" s="307">
        <v>2007</v>
      </c>
      <c r="L764" s="307">
        <v>2008</v>
      </c>
      <c r="M764" s="307">
        <v>2009</v>
      </c>
      <c r="N764" s="308">
        <v>2010</v>
      </c>
      <c r="O764" s="256">
        <v>2011</v>
      </c>
      <c r="P764" s="256">
        <v>2012</v>
      </c>
      <c r="Q764" s="256">
        <v>2013</v>
      </c>
      <c r="R764" s="256">
        <v>2014</v>
      </c>
      <c r="S764" s="256">
        <v>2015</v>
      </c>
      <c r="T764" s="256">
        <v>2016</v>
      </c>
      <c r="U764" s="256">
        <v>2017</v>
      </c>
      <c r="V764" s="256">
        <v>2018</v>
      </c>
      <c r="W764" s="256">
        <v>2019</v>
      </c>
      <c r="X764" s="256">
        <v>2020</v>
      </c>
    </row>
    <row r="765" spans="1:24">
      <c r="A765" s="259" t="s">
        <v>381</v>
      </c>
      <c r="B765" s="305">
        <f>NPV(0.1,D765:Y765)</f>
        <v>587133.4111321813</v>
      </c>
      <c r="C765" s="305">
        <f>B765-B754</f>
        <v>0</v>
      </c>
      <c r="D765" s="309">
        <v>41364.1276</v>
      </c>
      <c r="E765" s="310">
        <v>53599.168868000001</v>
      </c>
      <c r="F765" s="310">
        <v>53676.461374039995</v>
      </c>
      <c r="G765" s="310">
        <v>65143.101439719816</v>
      </c>
      <c r="H765" s="310">
        <v>73806.689285054352</v>
      </c>
      <c r="I765" s="310">
        <v>75317.217318825977</v>
      </c>
      <c r="J765" s="310">
        <v>75252.785341236653</v>
      </c>
      <c r="K765" s="310">
        <v>75972.254192721084</v>
      </c>
      <c r="L765" s="310">
        <v>76688.273847830875</v>
      </c>
      <c r="M765" s="310">
        <v>77399.989832817198</v>
      </c>
      <c r="N765" s="311">
        <v>78106.499509783054</v>
      </c>
      <c r="O765" s="31">
        <v>78806.849955860729</v>
      </c>
      <c r="P765" s="31">
        <v>79500.035758487647</v>
      </c>
      <c r="Q765" s="31">
        <v>80184.996723655335</v>
      </c>
      <c r="R765" s="31">
        <v>80860.615493893827</v>
      </c>
      <c r="S765" s="31">
        <v>81525.715072638748</v>
      </c>
      <c r="T765" s="31">
        <v>82179.056251507223</v>
      </c>
      <c r="U765" s="31">
        <v>82819.334936885876</v>
      </c>
      <c r="V765" s="31">
        <v>83445.179372104292</v>
      </c>
      <c r="W765" s="31">
        <v>82865.432394184551</v>
      </c>
      <c r="X765" s="31">
        <v>35526.302372602433</v>
      </c>
    </row>
    <row r="766" spans="1:24">
      <c r="A766" s="260" t="s">
        <v>382</v>
      </c>
      <c r="B766" s="305">
        <f>NPV(0.1,D766:Y766)</f>
        <v>254857.05069090237</v>
      </c>
      <c r="C766" s="305">
        <f>B766-B755</f>
        <v>36.312404594646068</v>
      </c>
      <c r="D766" s="309">
        <v>26210.086189737056</v>
      </c>
      <c r="E766" s="310">
        <v>27281.294114783763</v>
      </c>
      <c r="F766" s="310">
        <v>27431.909046706816</v>
      </c>
      <c r="G766" s="310">
        <v>28988.868818051742</v>
      </c>
      <c r="H766" s="310">
        <v>29966.293266439301</v>
      </c>
      <c r="I766" s="310">
        <v>30107.433664650143</v>
      </c>
      <c r="J766" s="310">
        <v>30296.052085804833</v>
      </c>
      <c r="K766" s="310">
        <v>30490.329059594165</v>
      </c>
      <c r="L766" s="310">
        <v>30690.434342597182</v>
      </c>
      <c r="M766" s="310">
        <v>30854.558501568412</v>
      </c>
      <c r="N766" s="311">
        <v>31066.850196306306</v>
      </c>
      <c r="O766" s="31">
        <v>31285.51064188634</v>
      </c>
      <c r="P766" s="31">
        <v>31510.730900833772</v>
      </c>
      <c r="Q766" s="31">
        <v>31700.72348502776</v>
      </c>
      <c r="R766" s="31">
        <v>31939.659657745091</v>
      </c>
      <c r="S766" s="31">
        <v>32185.763915643944</v>
      </c>
      <c r="T766" s="31">
        <v>32439.251301279761</v>
      </c>
      <c r="U766" s="31">
        <v>32658.359025962785</v>
      </c>
      <c r="V766" s="31">
        <v>32927.283793383831</v>
      </c>
      <c r="W766" s="31">
        <v>33204.276303827501</v>
      </c>
      <c r="X766" s="31">
        <v>16244.427660036063</v>
      </c>
    </row>
    <row r="767" spans="1:24">
      <c r="A767" s="260" t="s">
        <v>35</v>
      </c>
      <c r="B767" s="305">
        <f>NPV(0.1,D767:Y767)</f>
        <v>113129.25766680451</v>
      </c>
      <c r="C767" s="305">
        <f>B767-B756</f>
        <v>-591.15483199666778</v>
      </c>
      <c r="D767" s="309">
        <v>-2413.2120946962355</v>
      </c>
      <c r="E767" s="310">
        <v>3082.928209374325</v>
      </c>
      <c r="F767" s="310">
        <v>3338.3339487904495</v>
      </c>
      <c r="G767" s="310">
        <v>9816.3236786460348</v>
      </c>
      <c r="H767" s="310">
        <v>15060.280924539804</v>
      </c>
      <c r="I767" s="310">
        <v>16351.516127168547</v>
      </c>
      <c r="J767" s="310">
        <v>16620.59876831872</v>
      </c>
      <c r="K767" s="310">
        <v>17336.226600625603</v>
      </c>
      <c r="L767" s="310">
        <v>18046.187068017804</v>
      </c>
      <c r="M767" s="310">
        <v>19024.000185875841</v>
      </c>
      <c r="N767" s="311">
        <v>20142.226708014801</v>
      </c>
      <c r="O767" s="31">
        <v>20631.545759793677</v>
      </c>
      <c r="P767" s="31">
        <v>21161.248004940975</v>
      </c>
      <c r="Q767" s="31">
        <v>21707.445517185803</v>
      </c>
      <c r="R767" s="31">
        <v>22218.037898178573</v>
      </c>
      <c r="S767" s="31">
        <v>22717.825623727011</v>
      </c>
      <c r="T767" s="31">
        <v>23205.920333197257</v>
      </c>
      <c r="U767" s="31">
        <v>23950.872468431808</v>
      </c>
      <c r="V767" s="31">
        <v>24754.109461179563</v>
      </c>
      <c r="W767" s="31">
        <v>24962.257736828742</v>
      </c>
      <c r="X767" s="31">
        <v>7233.4570235672263</v>
      </c>
    </row>
    <row r="768" spans="1:24">
      <c r="A768" s="260" t="s">
        <v>32</v>
      </c>
      <c r="B768" s="305">
        <f>NPV(0.1,D768:Y768)</f>
        <v>124915.63932413071</v>
      </c>
      <c r="C768" s="305">
        <f>B768-B757</f>
        <v>717.16530200719717</v>
      </c>
      <c r="D768" s="312">
        <v>-6468.4251510931717</v>
      </c>
      <c r="E768" s="313">
        <v>5559.0788126314401</v>
      </c>
      <c r="F768" s="313">
        <v>3261.9055814248422</v>
      </c>
      <c r="G768" s="313">
        <v>11278.464454438923</v>
      </c>
      <c r="H768" s="313">
        <v>25387.124318847738</v>
      </c>
      <c r="I768" s="313">
        <v>24618.69830835778</v>
      </c>
      <c r="J768" s="313">
        <v>18637.626109678939</v>
      </c>
      <c r="K768" s="313">
        <v>19363.215220335343</v>
      </c>
      <c r="L768" s="313">
        <v>14622.214409378026</v>
      </c>
      <c r="M768" s="313">
        <v>11859.364523063712</v>
      </c>
      <c r="N768" s="314">
        <v>26612.114049375021</v>
      </c>
      <c r="O768" s="31">
        <v>26123.254379503418</v>
      </c>
      <c r="P768" s="31">
        <v>26642.995346301192</v>
      </c>
      <c r="Q768" s="31">
        <v>27157.169854373667</v>
      </c>
      <c r="R768" s="31">
        <v>27699.785239538785</v>
      </c>
      <c r="S768" s="31">
        <v>25260.995851979424</v>
      </c>
      <c r="T768" s="31">
        <v>17869.813448341854</v>
      </c>
      <c r="U768" s="31">
        <v>16596.501301054534</v>
      </c>
      <c r="V768" s="31">
        <v>14477.302576324164</v>
      </c>
      <c r="W768" s="31">
        <v>12709.17085197334</v>
      </c>
      <c r="X768" s="31">
        <v>11778.750138711828</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X46"/>
  <sheetViews>
    <sheetView topLeftCell="D17" workbookViewId="0">
      <selection activeCell="D46" sqref="D46:X46"/>
    </sheetView>
  </sheetViews>
  <sheetFormatPr defaultRowHeight="12.75"/>
  <cols>
    <col min="1" max="1" width="9.140625" style="27"/>
    <col min="2" max="2" width="11.7109375" style="27" customWidth="1"/>
    <col min="3" max="24" width="9.140625" style="27"/>
  </cols>
  <sheetData>
    <row r="1" spans="1:24" ht="20.25">
      <c r="A1" s="486" t="str">
        <f>'Project Assumptions'!$A$2</f>
        <v>WILTON CENTER, Will County, IL</v>
      </c>
      <c r="B1" s="487"/>
      <c r="C1" s="487"/>
      <c r="D1" s="487"/>
      <c r="E1" s="535"/>
    </row>
    <row r="2" spans="1:24">
      <c r="A2" s="490" t="s">
        <v>385</v>
      </c>
      <c r="B2" s="491"/>
      <c r="C2" s="491"/>
      <c r="D2" s="491"/>
      <c r="E2" s="536"/>
    </row>
    <row r="3" spans="1:24">
      <c r="A3" s="28"/>
    </row>
    <row r="4" spans="1:24">
      <c r="A4" s="58"/>
      <c r="B4" s="58"/>
      <c r="C4" s="58"/>
      <c r="D4" s="479">
        <f>'PPA Assumptions &amp;Summary'!C3</f>
        <v>1</v>
      </c>
      <c r="E4" s="479">
        <f>'PPA Assumptions &amp;Summary'!D3</f>
        <v>2</v>
      </c>
      <c r="F4" s="479">
        <f>'PPA Assumptions &amp;Summary'!E3</f>
        <v>3</v>
      </c>
      <c r="G4" s="479">
        <f>'PPA Assumptions &amp;Summary'!F3</f>
        <v>4</v>
      </c>
      <c r="H4" s="479">
        <f>'PPA Assumptions &amp;Summary'!G3</f>
        <v>5</v>
      </c>
      <c r="I4" s="479">
        <f>'PPA Assumptions &amp;Summary'!H3</f>
        <v>6</v>
      </c>
      <c r="J4" s="479">
        <f>'PPA Assumptions &amp;Summary'!I3</f>
        <v>7</v>
      </c>
      <c r="K4" s="479">
        <f>'PPA Assumptions &amp;Summary'!J3</f>
        <v>8</v>
      </c>
      <c r="L4" s="479">
        <f>'PPA Assumptions &amp;Summary'!K3</f>
        <v>9</v>
      </c>
      <c r="M4" s="479">
        <f>'PPA Assumptions &amp;Summary'!L3</f>
        <v>10</v>
      </c>
      <c r="N4" s="479">
        <f>'PPA Assumptions &amp;Summary'!M3</f>
        <v>11</v>
      </c>
      <c r="O4" s="479">
        <f>'PPA Assumptions &amp;Summary'!N3</f>
        <v>12</v>
      </c>
      <c r="P4" s="479">
        <f>'PPA Assumptions &amp;Summary'!O3</f>
        <v>13</v>
      </c>
      <c r="Q4" s="479">
        <f>'PPA Assumptions &amp;Summary'!P3</f>
        <v>14</v>
      </c>
      <c r="R4" s="479">
        <f>'PPA Assumptions &amp;Summary'!Q3</f>
        <v>15</v>
      </c>
      <c r="S4" s="479">
        <f>'PPA Assumptions &amp;Summary'!R3</f>
        <v>16</v>
      </c>
      <c r="T4" s="479">
        <f>'PPA Assumptions &amp;Summary'!S3</f>
        <v>17</v>
      </c>
      <c r="U4" s="479">
        <f>'PPA Assumptions &amp;Summary'!T3</f>
        <v>18</v>
      </c>
      <c r="V4" s="479">
        <f>'PPA Assumptions &amp;Summary'!U3</f>
        <v>19</v>
      </c>
      <c r="W4" s="479">
        <f>'PPA Assumptions &amp;Summary'!V3</f>
        <v>20</v>
      </c>
      <c r="X4" s="479">
        <f>'PPA Assumptions &amp;Summary'!W3</f>
        <v>21</v>
      </c>
    </row>
    <row r="5" spans="1:24">
      <c r="A5" s="455"/>
      <c r="B5" s="342"/>
      <c r="C5" s="342"/>
      <c r="D5" s="537">
        <f>'PPA Assumptions &amp;Summary'!C4</f>
        <v>2000</v>
      </c>
      <c r="E5" s="537">
        <f>'PPA Assumptions &amp;Summary'!D4</f>
        <v>2001</v>
      </c>
      <c r="F5" s="537">
        <f>'PPA Assumptions &amp;Summary'!E4</f>
        <v>2002</v>
      </c>
      <c r="G5" s="537">
        <f>'PPA Assumptions &amp;Summary'!F4</f>
        <v>2003</v>
      </c>
      <c r="H5" s="537">
        <f>'PPA Assumptions &amp;Summary'!G4</f>
        <v>2004</v>
      </c>
      <c r="I5" s="537">
        <f>'PPA Assumptions &amp;Summary'!H4</f>
        <v>2005</v>
      </c>
      <c r="J5" s="537">
        <f>'PPA Assumptions &amp;Summary'!I4</f>
        <v>2006</v>
      </c>
      <c r="K5" s="537">
        <f>'PPA Assumptions &amp;Summary'!J4</f>
        <v>2007</v>
      </c>
      <c r="L5" s="537">
        <f>'PPA Assumptions &amp;Summary'!K4</f>
        <v>2008</v>
      </c>
      <c r="M5" s="537">
        <f>'PPA Assumptions &amp;Summary'!L4</f>
        <v>2009</v>
      </c>
      <c r="N5" s="537">
        <f>'PPA Assumptions &amp;Summary'!M4</f>
        <v>2010</v>
      </c>
      <c r="O5" s="537">
        <f>'PPA Assumptions &amp;Summary'!N4</f>
        <v>2011</v>
      </c>
      <c r="P5" s="537">
        <f>'PPA Assumptions &amp;Summary'!O4</f>
        <v>2012</v>
      </c>
      <c r="Q5" s="537">
        <f>'PPA Assumptions &amp;Summary'!P4</f>
        <v>2013</v>
      </c>
      <c r="R5" s="537">
        <f>'PPA Assumptions &amp;Summary'!Q4</f>
        <v>2014</v>
      </c>
      <c r="S5" s="537">
        <f>'PPA Assumptions &amp;Summary'!R4</f>
        <v>2015</v>
      </c>
      <c r="T5" s="537">
        <f>'PPA Assumptions &amp;Summary'!S4</f>
        <v>2016</v>
      </c>
      <c r="U5" s="537">
        <f>'PPA Assumptions &amp;Summary'!T4</f>
        <v>2017</v>
      </c>
      <c r="V5" s="537">
        <f>'PPA Assumptions &amp;Summary'!U4</f>
        <v>2018</v>
      </c>
      <c r="W5" s="537">
        <f>'PPA Assumptions &amp;Summary'!V4</f>
        <v>2019</v>
      </c>
      <c r="X5" s="538">
        <f>'PPA Assumptions &amp;Summary'!W4</f>
        <v>2020</v>
      </c>
    </row>
    <row r="6" spans="1:24">
      <c r="A6" s="457" t="s">
        <v>386</v>
      </c>
      <c r="B6" s="58"/>
      <c r="C6" s="58"/>
      <c r="D6" s="58"/>
      <c r="E6" s="58"/>
      <c r="F6" s="58"/>
      <c r="G6" s="58"/>
      <c r="H6" s="58"/>
      <c r="I6" s="58"/>
      <c r="J6" s="58"/>
      <c r="K6" s="58"/>
      <c r="L6" s="58"/>
      <c r="M6" s="58"/>
      <c r="N6" s="58"/>
      <c r="O6" s="58"/>
      <c r="P6" s="58"/>
      <c r="Q6" s="58"/>
      <c r="R6" s="58"/>
      <c r="S6" s="58"/>
      <c r="T6" s="58"/>
      <c r="U6" s="58"/>
      <c r="V6" s="58"/>
      <c r="W6" s="58"/>
      <c r="X6" s="458"/>
    </row>
    <row r="7" spans="1:24">
      <c r="A7" s="456"/>
      <c r="B7" s="56" t="s">
        <v>387</v>
      </c>
      <c r="C7" s="58"/>
      <c r="D7" s="58"/>
      <c r="E7" s="58"/>
      <c r="F7" s="58"/>
      <c r="G7" s="58"/>
      <c r="H7" s="58"/>
      <c r="I7" s="58"/>
      <c r="J7" s="58"/>
      <c r="K7" s="58"/>
      <c r="L7" s="58"/>
      <c r="M7" s="58"/>
      <c r="N7" s="58"/>
      <c r="O7" s="58"/>
      <c r="P7" s="58"/>
      <c r="Q7" s="58"/>
      <c r="R7" s="58"/>
      <c r="S7" s="58"/>
      <c r="T7" s="58"/>
      <c r="U7" s="58"/>
      <c r="V7" s="58"/>
      <c r="W7" s="58"/>
      <c r="X7" s="458"/>
    </row>
    <row r="8" spans="1:24">
      <c r="A8" s="456"/>
      <c r="B8" s="56" t="s">
        <v>388</v>
      </c>
      <c r="C8" s="58"/>
      <c r="D8" s="58"/>
      <c r="E8" s="58"/>
      <c r="F8" s="58"/>
      <c r="G8" s="58"/>
      <c r="H8" s="58"/>
      <c r="I8" s="58"/>
      <c r="J8" s="58"/>
      <c r="K8" s="58"/>
      <c r="L8" s="58"/>
      <c r="M8" s="58"/>
      <c r="N8" s="58"/>
      <c r="O8" s="58"/>
      <c r="P8" s="58"/>
      <c r="Q8" s="58"/>
      <c r="R8" s="58"/>
      <c r="S8" s="58"/>
      <c r="T8" s="58"/>
      <c r="U8" s="58"/>
      <c r="V8" s="58"/>
      <c r="W8" s="58"/>
      <c r="X8" s="458"/>
    </row>
    <row r="9" spans="1:24">
      <c r="A9" s="456"/>
      <c r="B9" s="56" t="s">
        <v>389</v>
      </c>
      <c r="C9" s="58"/>
      <c r="D9" s="58"/>
      <c r="E9" s="58"/>
      <c r="F9" s="58"/>
      <c r="G9" s="58"/>
      <c r="H9" s="58"/>
      <c r="I9" s="58"/>
      <c r="J9" s="58"/>
      <c r="K9" s="58"/>
      <c r="L9" s="58"/>
      <c r="M9" s="58"/>
      <c r="N9" s="58"/>
      <c r="O9" s="58"/>
      <c r="P9" s="58"/>
      <c r="Q9" s="58"/>
      <c r="R9" s="58"/>
      <c r="S9" s="58"/>
      <c r="T9" s="58"/>
      <c r="U9" s="58"/>
      <c r="V9" s="58"/>
      <c r="W9" s="58"/>
      <c r="X9" s="458"/>
    </row>
    <row r="10" spans="1:24">
      <c r="A10" s="456"/>
      <c r="B10" s="56" t="s">
        <v>390</v>
      </c>
      <c r="C10" s="58"/>
      <c r="D10" s="58"/>
      <c r="E10" s="58"/>
      <c r="F10" s="58"/>
      <c r="G10" s="58"/>
      <c r="H10" s="58"/>
      <c r="I10" s="58"/>
      <c r="J10" s="58"/>
      <c r="K10" s="58"/>
      <c r="L10" s="58"/>
      <c r="M10" s="58"/>
      <c r="N10" s="58"/>
      <c r="O10" s="58"/>
      <c r="P10" s="58"/>
      <c r="Q10" s="58"/>
      <c r="R10" s="58"/>
      <c r="S10" s="58"/>
      <c r="T10" s="58"/>
      <c r="U10" s="58"/>
      <c r="V10" s="58"/>
      <c r="W10" s="58"/>
      <c r="X10" s="458"/>
    </row>
    <row r="11" spans="1:24">
      <c r="A11" s="456"/>
      <c r="B11" s="56" t="s">
        <v>391</v>
      </c>
      <c r="C11" s="58"/>
      <c r="D11" s="459">
        <f>IF(D4&gt;ProjectLife+1,0,'Project Assumptions'!$C$48+'Cash Flow Statement'!D18-'Cash Flow Statement'!D17)</f>
        <v>0</v>
      </c>
      <c r="E11" s="459">
        <f>IF(E4&gt;ProjectLife+1,0,'Project Assumptions'!$C$48+'Cash Flow Statement'!E18-'Cash Flow Statement'!E17)</f>
        <v>0</v>
      </c>
      <c r="F11" s="459">
        <f>IF(F4&gt;ProjectLife+1,0,'Project Assumptions'!$C$48+'Cash Flow Statement'!F18-'Cash Flow Statement'!F17)</f>
        <v>0</v>
      </c>
      <c r="G11" s="459">
        <f>IF(G4&gt;ProjectLife+1,0,'Project Assumptions'!$C$48+'Cash Flow Statement'!G18-'Cash Flow Statement'!G17)</f>
        <v>0</v>
      </c>
      <c r="H11" s="459">
        <f>IF(H4&gt;ProjectLife+1,0,'Project Assumptions'!$C$48+'Cash Flow Statement'!H18-'Cash Flow Statement'!H17)</f>
        <v>0</v>
      </c>
      <c r="I11" s="459">
        <f>IF(I4&gt;ProjectLife+1,0,'Project Assumptions'!$C$48+'Cash Flow Statement'!I18-'Cash Flow Statement'!I17)</f>
        <v>0</v>
      </c>
      <c r="J11" s="459">
        <f>IF(J4&gt;ProjectLife+1,0,'Project Assumptions'!$C$48+'Cash Flow Statement'!J18-'Cash Flow Statement'!J17)</f>
        <v>0</v>
      </c>
      <c r="K11" s="459">
        <f>IF(K4&gt;ProjectLife+1,0,'Project Assumptions'!$C$48+'Cash Flow Statement'!K18-'Cash Flow Statement'!K17)</f>
        <v>0</v>
      </c>
      <c r="L11" s="459">
        <f>IF(L4&gt;ProjectLife+1,0,'Project Assumptions'!$C$48+'Cash Flow Statement'!L18-'Cash Flow Statement'!L17)</f>
        <v>0</v>
      </c>
      <c r="M11" s="459">
        <f>IF(M4&gt;ProjectLife+1,0,'Project Assumptions'!$C$48+'Cash Flow Statement'!M18-'Cash Flow Statement'!M17)</f>
        <v>0</v>
      </c>
      <c r="N11" s="459">
        <f>IF(N4&gt;ProjectLife+1,0,'Project Assumptions'!$C$48+'Cash Flow Statement'!N18-'Cash Flow Statement'!N17)</f>
        <v>0</v>
      </c>
      <c r="O11" s="459">
        <f>IF(O4&gt;ProjectLife+1,0,'Project Assumptions'!$C$48+'Cash Flow Statement'!O18-'Cash Flow Statement'!O17)</f>
        <v>0</v>
      </c>
      <c r="P11" s="459">
        <f>IF(P4&gt;ProjectLife+1,0,'Project Assumptions'!$C$48+'Cash Flow Statement'!P18-'Cash Flow Statement'!P17)</f>
        <v>0</v>
      </c>
      <c r="Q11" s="459">
        <f>IF(Q4&gt;ProjectLife+1,0,'Project Assumptions'!$C$48+'Cash Flow Statement'!Q18-'Cash Flow Statement'!Q17)</f>
        <v>0</v>
      </c>
      <c r="R11" s="459">
        <f>IF(R4&gt;ProjectLife+1,0,'Project Assumptions'!$C$48+'Cash Flow Statement'!R18-'Cash Flow Statement'!R17)</f>
        <v>0</v>
      </c>
      <c r="S11" s="459">
        <f>IF(S4&gt;ProjectLife+1,0,'Project Assumptions'!$C$48+'Cash Flow Statement'!S18-'Cash Flow Statement'!S17)</f>
        <v>0</v>
      </c>
      <c r="T11" s="459">
        <f>IF(T4&gt;ProjectLife+1,0,'Project Assumptions'!$C$48+'Cash Flow Statement'!T18-'Cash Flow Statement'!T17)</f>
        <v>0</v>
      </c>
      <c r="U11" s="459">
        <f>IF(U4&gt;ProjectLife+1,0,'Project Assumptions'!$C$48+'Cash Flow Statement'!U18-'Cash Flow Statement'!U17)</f>
        <v>0</v>
      </c>
      <c r="V11" s="459">
        <f>IF(V4&gt;ProjectLife+1,0,'Project Assumptions'!$C$48+'Cash Flow Statement'!V18-'Cash Flow Statement'!V17)</f>
        <v>0</v>
      </c>
      <c r="W11" s="459">
        <f>IF(W4&gt;ProjectLife+1,0,'Project Assumptions'!$C$48+'Cash Flow Statement'!W18-'Cash Flow Statement'!W17)</f>
        <v>0</v>
      </c>
      <c r="X11" s="460">
        <f>IF(X4&gt;ProjectLife+1,0,'Project Assumptions'!$C$48+'Cash Flow Statement'!X18-'Cash Flow Statement'!X17)</f>
        <v>0</v>
      </c>
    </row>
    <row r="12" spans="1:24">
      <c r="A12" s="456"/>
      <c r="B12" s="56" t="s">
        <v>418</v>
      </c>
      <c r="C12" s="58"/>
      <c r="D12" s="461">
        <f>'Maintenance Reserves'!D13</f>
        <v>1853.0111999999999</v>
      </c>
      <c r="E12" s="461">
        <f>'Maintenance Reserves'!E13</f>
        <v>3761.612736</v>
      </c>
      <c r="F12" s="461">
        <f>'Maintenance Reserves'!F13</f>
        <v>5727.4723180800002</v>
      </c>
      <c r="G12" s="461">
        <f>'Maintenance Reserves'!G13</f>
        <v>5852.4488163424003</v>
      </c>
      <c r="H12" s="461">
        <f>'Maintenance Reserves'!H13</f>
        <v>7938.0292469710721</v>
      </c>
      <c r="I12" s="461">
        <f>'Maintenance Reserves'!I13</f>
        <v>10086.177090518604</v>
      </c>
      <c r="J12" s="461">
        <f>'Maintenance Reserves'!J13</f>
        <v>10222.742284535378</v>
      </c>
      <c r="K12" s="461">
        <f>'Maintenance Reserves'!K13</f>
        <v>12501.712331754954</v>
      </c>
      <c r="L12" s="461">
        <f>'Maintenance Reserves'!L13</f>
        <v>14849.051480391117</v>
      </c>
      <c r="M12" s="461">
        <f>'Maintenance Reserves'!M13</f>
        <v>5105.4013522523655</v>
      </c>
      <c r="N12" s="461">
        <f>'Maintenance Reserves'!N13</f>
        <v>7595.6934550404721</v>
      </c>
      <c r="O12" s="461">
        <f>'Maintenance Reserves'!O13</f>
        <v>10160.694320912222</v>
      </c>
      <c r="P12" s="461">
        <f>'Maintenance Reserves'!P13</f>
        <v>12802.645212760122</v>
      </c>
      <c r="Q12" s="461">
        <f>'Maintenance Reserves'!Q13</f>
        <v>12970.603175808037</v>
      </c>
      <c r="R12" s="461">
        <f>'Maintenance Reserves'!R13</f>
        <v>15773.448876969476</v>
      </c>
      <c r="S12" s="461">
        <f>'Maintenance Reserves'!S13</f>
        <v>18660.379949165759</v>
      </c>
      <c r="T12" s="461">
        <f>'Maintenance Reserves'!T13</f>
        <v>3783.164524993048</v>
      </c>
      <c r="U12" s="461">
        <f>'Maintenance Reserves'!U13</f>
        <v>6845.9096994860829</v>
      </c>
      <c r="V12" s="461">
        <f>'Maintenance Reserves'!V13</f>
        <v>10000.537229213909</v>
      </c>
      <c r="W12" s="461">
        <f>'Maintenance Reserves'!W13</f>
        <v>-16408.295564429231</v>
      </c>
      <c r="X12" s="462">
        <f>'Maintenance Reserves'!X13</f>
        <v>-13061.551218140979</v>
      </c>
    </row>
    <row r="13" spans="1:24">
      <c r="A13" s="456"/>
      <c r="B13" s="56" t="s">
        <v>392</v>
      </c>
      <c r="C13" s="58"/>
      <c r="D13" s="463">
        <f>SUM(D7:D12)</f>
        <v>1853.0111999999999</v>
      </c>
      <c r="E13" s="463">
        <f t="shared" ref="E13:X13" si="0">SUM(E7:E12)</f>
        <v>3761.612736</v>
      </c>
      <c r="F13" s="463">
        <f t="shared" si="0"/>
        <v>5727.4723180800002</v>
      </c>
      <c r="G13" s="463">
        <f t="shared" si="0"/>
        <v>5852.4488163424003</v>
      </c>
      <c r="H13" s="463">
        <f t="shared" si="0"/>
        <v>7938.0292469710721</v>
      </c>
      <c r="I13" s="463">
        <f t="shared" si="0"/>
        <v>10086.177090518604</v>
      </c>
      <c r="J13" s="463">
        <f t="shared" si="0"/>
        <v>10222.742284535378</v>
      </c>
      <c r="K13" s="463">
        <f t="shared" si="0"/>
        <v>12501.712331754954</v>
      </c>
      <c r="L13" s="463">
        <f t="shared" si="0"/>
        <v>14849.051480391117</v>
      </c>
      <c r="M13" s="463">
        <f t="shared" si="0"/>
        <v>5105.4013522523655</v>
      </c>
      <c r="N13" s="463">
        <f t="shared" si="0"/>
        <v>7595.6934550404721</v>
      </c>
      <c r="O13" s="463">
        <f t="shared" si="0"/>
        <v>10160.694320912222</v>
      </c>
      <c r="P13" s="463">
        <f t="shared" si="0"/>
        <v>12802.645212760122</v>
      </c>
      <c r="Q13" s="463">
        <f t="shared" si="0"/>
        <v>12970.603175808037</v>
      </c>
      <c r="R13" s="463">
        <f t="shared" si="0"/>
        <v>15773.448876969476</v>
      </c>
      <c r="S13" s="463">
        <f t="shared" si="0"/>
        <v>18660.379949165759</v>
      </c>
      <c r="T13" s="463">
        <f t="shared" si="0"/>
        <v>3783.164524993048</v>
      </c>
      <c r="U13" s="463">
        <f t="shared" si="0"/>
        <v>6845.9096994860829</v>
      </c>
      <c r="V13" s="463">
        <f t="shared" si="0"/>
        <v>10000.537229213909</v>
      </c>
      <c r="W13" s="463">
        <f t="shared" si="0"/>
        <v>-16408.295564429231</v>
      </c>
      <c r="X13" s="464">
        <f t="shared" si="0"/>
        <v>-13061.551218140979</v>
      </c>
    </row>
    <row r="14" spans="1:24">
      <c r="A14" s="440"/>
      <c r="B14" s="58"/>
      <c r="C14" s="58"/>
      <c r="D14" s="58"/>
      <c r="E14" s="58"/>
      <c r="F14" s="58"/>
      <c r="G14" s="58"/>
      <c r="H14" s="58"/>
      <c r="I14" s="58"/>
      <c r="J14" s="58"/>
      <c r="K14" s="58"/>
      <c r="L14" s="58"/>
      <c r="M14" s="58"/>
      <c r="N14" s="58"/>
      <c r="O14" s="58"/>
      <c r="P14" s="58"/>
      <c r="Q14" s="58"/>
      <c r="R14" s="58"/>
      <c r="S14" s="58"/>
      <c r="T14" s="58"/>
      <c r="U14" s="58"/>
      <c r="V14" s="58"/>
      <c r="W14" s="58"/>
      <c r="X14" s="458"/>
    </row>
    <row r="15" spans="1:24">
      <c r="A15" s="440"/>
      <c r="B15" s="58"/>
      <c r="C15" s="58"/>
      <c r="D15" s="58"/>
      <c r="E15" s="58"/>
      <c r="F15" s="58"/>
      <c r="G15" s="58"/>
      <c r="H15" s="58"/>
      <c r="I15" s="58"/>
      <c r="J15" s="58"/>
      <c r="K15" s="58"/>
      <c r="L15" s="58"/>
      <c r="M15" s="58"/>
      <c r="N15" s="58"/>
      <c r="O15" s="58"/>
      <c r="P15" s="58"/>
      <c r="Q15" s="58"/>
      <c r="R15" s="58"/>
      <c r="S15" s="58"/>
      <c r="T15" s="58"/>
      <c r="U15" s="58"/>
      <c r="V15" s="58"/>
      <c r="W15" s="58"/>
      <c r="X15" s="458"/>
    </row>
    <row r="16" spans="1:24">
      <c r="A16" s="456"/>
      <c r="B16" s="56" t="s">
        <v>393</v>
      </c>
      <c r="C16" s="58"/>
      <c r="D16" s="463">
        <f>Depreciation!$B$40</f>
        <v>252666.54500000001</v>
      </c>
      <c r="E16" s="463">
        <f>Depreciation!$B$40</f>
        <v>252666.54500000001</v>
      </c>
      <c r="F16" s="463">
        <f>Depreciation!$B$40</f>
        <v>252666.54500000001</v>
      </c>
      <c r="G16" s="463">
        <f>Depreciation!$B$40</f>
        <v>252666.54500000001</v>
      </c>
      <c r="H16" s="463">
        <f>Depreciation!$B$40</f>
        <v>252666.54500000001</v>
      </c>
      <c r="I16" s="463">
        <f>Depreciation!$B$40</f>
        <v>252666.54500000001</v>
      </c>
      <c r="J16" s="463">
        <f>Depreciation!$B$40</f>
        <v>252666.54500000001</v>
      </c>
      <c r="K16" s="463">
        <f>Depreciation!$B$40</f>
        <v>252666.54500000001</v>
      </c>
      <c r="L16" s="463">
        <f>Depreciation!$B$40</f>
        <v>252666.54500000001</v>
      </c>
      <c r="M16" s="463">
        <f>Depreciation!$B$40</f>
        <v>252666.54500000001</v>
      </c>
      <c r="N16" s="463">
        <f>Depreciation!$B$40</f>
        <v>252666.54500000001</v>
      </c>
      <c r="O16" s="463">
        <f>Depreciation!$B$40</f>
        <v>252666.54500000001</v>
      </c>
      <c r="P16" s="463">
        <f>Depreciation!$B$40</f>
        <v>252666.54500000001</v>
      </c>
      <c r="Q16" s="463">
        <f>Depreciation!$B$40</f>
        <v>252666.54500000001</v>
      </c>
      <c r="R16" s="463">
        <f>Depreciation!$B$40</f>
        <v>252666.54500000001</v>
      </c>
      <c r="S16" s="463">
        <f>Depreciation!$B$40</f>
        <v>252666.54500000001</v>
      </c>
      <c r="T16" s="463">
        <f>Depreciation!$B$40</f>
        <v>252666.54500000001</v>
      </c>
      <c r="U16" s="463">
        <f>Depreciation!$B$40</f>
        <v>252666.54500000001</v>
      </c>
      <c r="V16" s="463">
        <f>Depreciation!$B$40</f>
        <v>252666.54500000001</v>
      </c>
      <c r="W16" s="463">
        <f>Depreciation!$B$40</f>
        <v>252666.54500000001</v>
      </c>
      <c r="X16" s="464">
        <f>Depreciation!$B$40</f>
        <v>252666.54500000001</v>
      </c>
    </row>
    <row r="17" spans="1:24">
      <c r="A17" s="456"/>
      <c r="B17" s="56" t="s">
        <v>394</v>
      </c>
      <c r="C17" s="58"/>
      <c r="D17" s="465">
        <f>SUM(Depreciation!$D$40:D40)</f>
        <v>4574.7769783333342</v>
      </c>
      <c r="E17" s="465">
        <f>SUM(Depreciation!$D$40:E40)</f>
        <v>12417.251798333335</v>
      </c>
      <c r="F17" s="465">
        <f>SUM(Depreciation!$D$40:F40)</f>
        <v>20259.726618333334</v>
      </c>
      <c r="G17" s="465">
        <f>SUM(Depreciation!$D$40:G40)</f>
        <v>28102.201438333337</v>
      </c>
      <c r="H17" s="465">
        <f>SUM(Depreciation!$D$40:H40)</f>
        <v>35944.67625833334</v>
      </c>
      <c r="I17" s="465">
        <f>SUM(Depreciation!$D$40:I40)</f>
        <v>43607.018795000011</v>
      </c>
      <c r="J17" s="465">
        <f>SUM(Depreciation!$D$40:J40)</f>
        <v>51140.695415000009</v>
      </c>
      <c r="K17" s="465">
        <f>SUM(Depreciation!$D$40:K40)</f>
        <v>58674.372035000008</v>
      </c>
      <c r="L17" s="465">
        <f>SUM(Depreciation!$D$40:L40)</f>
        <v>66208.048655000006</v>
      </c>
      <c r="M17" s="465">
        <f>SUM(Depreciation!$D$40:M40)</f>
        <v>73741.725275000004</v>
      </c>
      <c r="N17" s="465">
        <f>SUM(Depreciation!$D$40:N40)</f>
        <v>81275.401895000003</v>
      </c>
      <c r="O17" s="465">
        <f>SUM(Depreciation!$D$40:O40)</f>
        <v>88809.078515000001</v>
      </c>
      <c r="P17" s="465">
        <f>SUM(Depreciation!$D$40:P40)</f>
        <v>96342.755134999999</v>
      </c>
      <c r="Q17" s="465">
        <f>SUM(Depreciation!$D$40:Q40)</f>
        <v>103876.431755</v>
      </c>
      <c r="R17" s="465">
        <f>SUM(Depreciation!$D$40:R40)</f>
        <v>111410.108375</v>
      </c>
      <c r="S17" s="465">
        <f>SUM(Depreciation!$D$40:S40)</f>
        <v>118943.78499499999</v>
      </c>
      <c r="T17" s="465">
        <f>SUM(Depreciation!$D$40:T40)</f>
        <v>126477.46161499999</v>
      </c>
      <c r="U17" s="465">
        <f>SUM(Depreciation!$D$40:U40)</f>
        <v>134011.13823499999</v>
      </c>
      <c r="V17" s="465">
        <f>SUM(Depreciation!$D$40:V40)</f>
        <v>141544.814855</v>
      </c>
      <c r="W17" s="465">
        <f>SUM(Depreciation!$D$40:W40)</f>
        <v>149078.49147500002</v>
      </c>
      <c r="X17" s="465">
        <f>SUM(Depreciation!$D$40:X40)</f>
        <v>156612.16809500003</v>
      </c>
    </row>
    <row r="18" spans="1:24">
      <c r="A18" s="456"/>
      <c r="B18" s="56" t="s">
        <v>395</v>
      </c>
      <c r="C18" s="58"/>
      <c r="D18" s="463">
        <f>D16-D17</f>
        <v>248091.76802166668</v>
      </c>
      <c r="E18" s="463">
        <f t="shared" ref="E18:X18" si="1">E16-E17</f>
        <v>240249.29320166667</v>
      </c>
      <c r="F18" s="463">
        <f t="shared" si="1"/>
        <v>232406.81838166667</v>
      </c>
      <c r="G18" s="463">
        <f t="shared" si="1"/>
        <v>224564.34356166667</v>
      </c>
      <c r="H18" s="463">
        <f t="shared" si="1"/>
        <v>216721.86874166667</v>
      </c>
      <c r="I18" s="463">
        <f t="shared" si="1"/>
        <v>209059.526205</v>
      </c>
      <c r="J18" s="463">
        <f t="shared" si="1"/>
        <v>201525.84958500002</v>
      </c>
      <c r="K18" s="463">
        <f t="shared" si="1"/>
        <v>193992.17296500001</v>
      </c>
      <c r="L18" s="463">
        <f t="shared" si="1"/>
        <v>186458.49634499999</v>
      </c>
      <c r="M18" s="463">
        <f t="shared" si="1"/>
        <v>178924.81972500001</v>
      </c>
      <c r="N18" s="463">
        <f t="shared" si="1"/>
        <v>171391.14310500002</v>
      </c>
      <c r="O18" s="463">
        <f t="shared" si="1"/>
        <v>163857.46648500001</v>
      </c>
      <c r="P18" s="463">
        <f t="shared" si="1"/>
        <v>156323.789865</v>
      </c>
      <c r="Q18" s="463">
        <f t="shared" si="1"/>
        <v>148790.11324500002</v>
      </c>
      <c r="R18" s="463">
        <f t="shared" si="1"/>
        <v>141256.43662500003</v>
      </c>
      <c r="S18" s="463">
        <f t="shared" si="1"/>
        <v>133722.76000500002</v>
      </c>
      <c r="T18" s="463">
        <f t="shared" si="1"/>
        <v>126189.08338500002</v>
      </c>
      <c r="U18" s="463">
        <f t="shared" si="1"/>
        <v>118655.40676500002</v>
      </c>
      <c r="V18" s="463">
        <f t="shared" si="1"/>
        <v>111121.73014500001</v>
      </c>
      <c r="W18" s="463">
        <f t="shared" si="1"/>
        <v>103588.053525</v>
      </c>
      <c r="X18" s="464">
        <f t="shared" si="1"/>
        <v>96054.376904999983</v>
      </c>
    </row>
    <row r="19" spans="1:24">
      <c r="A19" s="456"/>
      <c r="B19" s="56" t="s">
        <v>396</v>
      </c>
      <c r="C19" s="58"/>
      <c r="D19" s="463">
        <f>'Project Assumptions'!$C$25</f>
        <v>2305.8180000000002</v>
      </c>
      <c r="E19" s="463">
        <f>'Project Assumptions'!$C$25</f>
        <v>2305.8180000000002</v>
      </c>
      <c r="F19" s="463">
        <f>'Project Assumptions'!$C$25</f>
        <v>2305.8180000000002</v>
      </c>
      <c r="G19" s="463">
        <f>'Project Assumptions'!$C$25</f>
        <v>2305.8180000000002</v>
      </c>
      <c r="H19" s="463">
        <f>'Project Assumptions'!$C$25</f>
        <v>2305.8180000000002</v>
      </c>
      <c r="I19" s="463">
        <f>'Project Assumptions'!$C$25</f>
        <v>2305.8180000000002</v>
      </c>
      <c r="J19" s="463">
        <f>'Project Assumptions'!$C$25</f>
        <v>2305.8180000000002</v>
      </c>
      <c r="K19" s="463">
        <f>'Project Assumptions'!$C$25</f>
        <v>2305.8180000000002</v>
      </c>
      <c r="L19" s="463">
        <f>'Project Assumptions'!$C$25</f>
        <v>2305.8180000000002</v>
      </c>
      <c r="M19" s="463">
        <f>'Project Assumptions'!$C$25</f>
        <v>2305.8180000000002</v>
      </c>
      <c r="N19" s="463">
        <f>'Project Assumptions'!$C$25</f>
        <v>2305.8180000000002</v>
      </c>
      <c r="O19" s="463">
        <f>'Project Assumptions'!$C$25</f>
        <v>2305.8180000000002</v>
      </c>
      <c r="P19" s="463">
        <f>'Project Assumptions'!$C$25</f>
        <v>2305.8180000000002</v>
      </c>
      <c r="Q19" s="463">
        <f>'Project Assumptions'!$C$25</f>
        <v>2305.8180000000002</v>
      </c>
      <c r="R19" s="463">
        <f>'Project Assumptions'!$C$25</f>
        <v>2305.8180000000002</v>
      </c>
      <c r="S19" s="463">
        <f>'Project Assumptions'!$C$25</f>
        <v>2305.8180000000002</v>
      </c>
      <c r="T19" s="463">
        <f>'Project Assumptions'!$C$25</f>
        <v>2305.8180000000002</v>
      </c>
      <c r="U19" s="463">
        <f>'Project Assumptions'!$C$25</f>
        <v>2305.8180000000002</v>
      </c>
      <c r="V19" s="463">
        <f>'Project Assumptions'!$C$25</f>
        <v>2305.8180000000002</v>
      </c>
      <c r="W19" s="463">
        <f>'Project Assumptions'!$C$25</f>
        <v>2305.8180000000002</v>
      </c>
      <c r="X19" s="464">
        <f>'Project Assumptions'!$C$25</f>
        <v>2305.8180000000002</v>
      </c>
    </row>
    <row r="20" spans="1:24">
      <c r="A20" s="456"/>
      <c r="B20" s="56" t="s">
        <v>397</v>
      </c>
      <c r="C20" s="58"/>
      <c r="D20" s="461">
        <v>0</v>
      </c>
      <c r="E20" s="461">
        <v>0</v>
      </c>
      <c r="F20" s="461">
        <v>0</v>
      </c>
      <c r="G20" s="461">
        <v>0</v>
      </c>
      <c r="H20" s="461">
        <v>0</v>
      </c>
      <c r="I20" s="461">
        <v>0</v>
      </c>
      <c r="J20" s="461">
        <v>0</v>
      </c>
      <c r="K20" s="461">
        <v>0</v>
      </c>
      <c r="L20" s="461">
        <v>0</v>
      </c>
      <c r="M20" s="461">
        <v>0</v>
      </c>
      <c r="N20" s="461">
        <v>0</v>
      </c>
      <c r="O20" s="461">
        <v>0</v>
      </c>
      <c r="P20" s="461">
        <v>0</v>
      </c>
      <c r="Q20" s="461">
        <v>0</v>
      </c>
      <c r="R20" s="461">
        <v>0</v>
      </c>
      <c r="S20" s="461">
        <v>0</v>
      </c>
      <c r="T20" s="461">
        <v>0</v>
      </c>
      <c r="U20" s="461">
        <v>0</v>
      </c>
      <c r="V20" s="461">
        <v>0</v>
      </c>
      <c r="W20" s="461">
        <v>0</v>
      </c>
      <c r="X20" s="462">
        <v>0</v>
      </c>
    </row>
    <row r="21" spans="1:24">
      <c r="A21" s="440"/>
      <c r="B21" s="58"/>
      <c r="C21" s="58"/>
      <c r="D21" s="58"/>
      <c r="E21" s="58"/>
      <c r="F21" s="58"/>
      <c r="G21" s="58"/>
      <c r="H21" s="58"/>
      <c r="I21" s="58"/>
      <c r="J21" s="58"/>
      <c r="K21" s="58"/>
      <c r="L21" s="58"/>
      <c r="M21" s="58"/>
      <c r="N21" s="58"/>
      <c r="O21" s="58"/>
      <c r="P21" s="58"/>
      <c r="Q21" s="58"/>
      <c r="R21" s="58"/>
      <c r="S21" s="58"/>
      <c r="T21" s="58"/>
      <c r="U21" s="58"/>
      <c r="V21" s="58"/>
      <c r="W21" s="58"/>
      <c r="X21" s="458"/>
    </row>
    <row r="22" spans="1:24">
      <c r="A22" s="467" t="s">
        <v>398</v>
      </c>
      <c r="B22" s="454"/>
      <c r="C22" s="454"/>
      <c r="D22" s="468">
        <f>D13+SUM(D18:D20)</f>
        <v>252250.59722166669</v>
      </c>
      <c r="E22" s="468">
        <f t="shared" ref="E22:X22" si="2">E13+SUM(E18:E20)</f>
        <v>246316.72393766668</v>
      </c>
      <c r="F22" s="468">
        <f t="shared" si="2"/>
        <v>240440.10869974666</v>
      </c>
      <c r="G22" s="468">
        <f t="shared" si="2"/>
        <v>232722.61037800906</v>
      </c>
      <c r="H22" s="468">
        <f t="shared" si="2"/>
        <v>226965.71598863773</v>
      </c>
      <c r="I22" s="468">
        <f t="shared" si="2"/>
        <v>221451.52129551861</v>
      </c>
      <c r="J22" s="468">
        <f t="shared" si="2"/>
        <v>214054.40986953539</v>
      </c>
      <c r="K22" s="468">
        <f t="shared" si="2"/>
        <v>208799.70329675495</v>
      </c>
      <c r="L22" s="468">
        <f t="shared" si="2"/>
        <v>203613.36582539111</v>
      </c>
      <c r="M22" s="468">
        <f t="shared" si="2"/>
        <v>186336.03907725238</v>
      </c>
      <c r="N22" s="468">
        <f t="shared" si="2"/>
        <v>181292.65456004051</v>
      </c>
      <c r="O22" s="468">
        <f t="shared" si="2"/>
        <v>176323.97880591222</v>
      </c>
      <c r="P22" s="468">
        <f t="shared" si="2"/>
        <v>171432.25307776011</v>
      </c>
      <c r="Q22" s="468">
        <f t="shared" si="2"/>
        <v>164066.53442080805</v>
      </c>
      <c r="R22" s="468">
        <f t="shared" si="2"/>
        <v>159335.70350196952</v>
      </c>
      <c r="S22" s="468">
        <f t="shared" si="2"/>
        <v>154688.95795416579</v>
      </c>
      <c r="T22" s="468">
        <f t="shared" si="2"/>
        <v>132278.06590999308</v>
      </c>
      <c r="U22" s="468">
        <f t="shared" si="2"/>
        <v>127807.13446448611</v>
      </c>
      <c r="V22" s="468">
        <f t="shared" si="2"/>
        <v>123428.08537421392</v>
      </c>
      <c r="W22" s="468">
        <f t="shared" si="2"/>
        <v>89485.575960570772</v>
      </c>
      <c r="X22" s="469">
        <f t="shared" si="2"/>
        <v>85298.643686858995</v>
      </c>
    </row>
    <row r="23" spans="1:24">
      <c r="A23" s="30"/>
    </row>
    <row r="24" spans="1:24">
      <c r="A24" s="470" t="s">
        <v>399</v>
      </c>
      <c r="B24" s="342"/>
      <c r="C24" s="342"/>
      <c r="D24" s="342"/>
      <c r="E24" s="342"/>
      <c r="F24" s="342"/>
      <c r="G24" s="342"/>
      <c r="H24" s="342"/>
      <c r="I24" s="342"/>
      <c r="J24" s="342"/>
      <c r="K24" s="342"/>
      <c r="L24" s="342"/>
      <c r="M24" s="342"/>
      <c r="N24" s="342"/>
      <c r="O24" s="342"/>
      <c r="P24" s="342"/>
      <c r="Q24" s="342"/>
      <c r="R24" s="342"/>
      <c r="S24" s="342"/>
      <c r="T24" s="342"/>
      <c r="U24" s="342"/>
      <c r="V24" s="342"/>
      <c r="W24" s="342"/>
      <c r="X24" s="453"/>
    </row>
    <row r="25" spans="1:24">
      <c r="A25" s="456"/>
      <c r="B25" s="56" t="s">
        <v>400</v>
      </c>
      <c r="C25" s="58"/>
      <c r="D25" s="471">
        <f>'Maintenance Reserves'!D13</f>
        <v>1853.0111999999999</v>
      </c>
      <c r="E25" s="471">
        <f>'Maintenance Reserves'!E13</f>
        <v>3761.612736</v>
      </c>
      <c r="F25" s="471">
        <f>'Maintenance Reserves'!F13</f>
        <v>5727.4723180800002</v>
      </c>
      <c r="G25" s="471">
        <f>'Maintenance Reserves'!G13</f>
        <v>5852.4488163424003</v>
      </c>
      <c r="H25" s="471">
        <f>'Maintenance Reserves'!H13</f>
        <v>7938.0292469710721</v>
      </c>
      <c r="I25" s="471">
        <f>'Maintenance Reserves'!I13</f>
        <v>10086.177090518604</v>
      </c>
      <c r="J25" s="471">
        <f>'Maintenance Reserves'!J13</f>
        <v>10222.742284535378</v>
      </c>
      <c r="K25" s="471">
        <f>'Maintenance Reserves'!K13</f>
        <v>12501.712331754954</v>
      </c>
      <c r="L25" s="471">
        <f>'Maintenance Reserves'!L13</f>
        <v>14849.051480391117</v>
      </c>
      <c r="M25" s="471">
        <f>'Maintenance Reserves'!M13</f>
        <v>5105.4013522523655</v>
      </c>
      <c r="N25" s="471">
        <f>'Maintenance Reserves'!N13</f>
        <v>7595.6934550404721</v>
      </c>
      <c r="O25" s="471">
        <f>'Maintenance Reserves'!O13</f>
        <v>10160.694320912222</v>
      </c>
      <c r="P25" s="471">
        <f>'Maintenance Reserves'!P13</f>
        <v>12802.645212760122</v>
      </c>
      <c r="Q25" s="471">
        <f>'Maintenance Reserves'!Q13</f>
        <v>12970.603175808037</v>
      </c>
      <c r="R25" s="471">
        <f>'Maintenance Reserves'!R13</f>
        <v>15773.448876969476</v>
      </c>
      <c r="S25" s="471">
        <f>'Maintenance Reserves'!S13</f>
        <v>18660.379949165759</v>
      </c>
      <c r="T25" s="471">
        <f>'Maintenance Reserves'!T13</f>
        <v>3783.164524993048</v>
      </c>
      <c r="U25" s="471">
        <f>'Maintenance Reserves'!U13</f>
        <v>6845.9096994860829</v>
      </c>
      <c r="V25" s="471">
        <f>'Maintenance Reserves'!V13</f>
        <v>10000.537229213909</v>
      </c>
      <c r="W25" s="471">
        <f>'Maintenance Reserves'!W13</f>
        <v>-16408.295564429231</v>
      </c>
      <c r="X25" s="472">
        <f>'Maintenance Reserves'!X13</f>
        <v>-13061.551218140979</v>
      </c>
    </row>
    <row r="26" spans="1:24">
      <c r="A26" s="456"/>
      <c r="B26" s="56" t="s">
        <v>401</v>
      </c>
      <c r="C26" s="58"/>
      <c r="D26" s="58"/>
      <c r="E26" s="58"/>
      <c r="F26" s="58"/>
      <c r="G26" s="58"/>
      <c r="H26" s="58"/>
      <c r="I26" s="58"/>
      <c r="J26" s="58"/>
      <c r="K26" s="58"/>
      <c r="L26" s="58"/>
      <c r="M26" s="58"/>
      <c r="N26" s="58"/>
      <c r="O26" s="58"/>
      <c r="P26" s="58"/>
      <c r="Q26" s="58"/>
      <c r="R26" s="58"/>
      <c r="S26" s="58"/>
      <c r="T26" s="58"/>
      <c r="U26" s="58"/>
      <c r="V26" s="58"/>
      <c r="W26" s="58"/>
      <c r="X26" s="458"/>
    </row>
    <row r="27" spans="1:24">
      <c r="A27" s="456"/>
      <c r="B27" s="56" t="s">
        <v>402</v>
      </c>
      <c r="C27" s="58"/>
      <c r="D27" s="463">
        <f>'Tax Calculations'!D60</f>
        <v>-1236.7400347302696</v>
      </c>
      <c r="E27" s="463">
        <f>'Tax Calculations'!E60</f>
        <v>790.18574852684242</v>
      </c>
      <c r="F27" s="463">
        <f>'Tax Calculations'!F60</f>
        <v>2985.0325611612338</v>
      </c>
      <c r="G27" s="463">
        <f>'Tax Calculations'!G60</f>
        <v>9438.9485169541204</v>
      </c>
      <c r="H27" s="463">
        <f>'Tax Calculations'!H60</f>
        <v>19340.597091262051</v>
      </c>
      <c r="I27" s="463">
        <f>'Tax Calculations'!I60</f>
        <v>27362.716735784612</v>
      </c>
      <c r="J27" s="463">
        <f>'Tax Calculations'!J60</f>
        <v>30251.487457144831</v>
      </c>
      <c r="K27" s="463">
        <f>'Tax Calculations'!K60</f>
        <v>33150.219456854567</v>
      </c>
      <c r="L27" s="463">
        <f>'Tax Calculations'!L60</f>
        <v>36038.990178214786</v>
      </c>
      <c r="M27" s="463">
        <f>'Tax Calculations'!M60</f>
        <v>38895.73789540265</v>
      </c>
      <c r="N27" s="463">
        <f>'Tax Calculations'!N60</f>
        <v>41784.508616762869</v>
      </c>
      <c r="O27" s="463">
        <f>'Tax Calculations'!O60</f>
        <v>44683.240616472605</v>
      </c>
      <c r="P27" s="463">
        <f>'Tax Calculations'!P60</f>
        <v>47572.011337832824</v>
      </c>
      <c r="Q27" s="463">
        <f>'Tax Calculations'!Q60</f>
        <v>50428.759055020688</v>
      </c>
      <c r="R27" s="463">
        <f>'Tax Calculations'!R60</f>
        <v>53317.529776380907</v>
      </c>
      <c r="S27" s="463">
        <f>'Tax Calculations'!S60</f>
        <v>53267.723384633318</v>
      </c>
      <c r="T27" s="463">
        <f>'Tax Calculations'!T60</f>
        <v>50279.339879777923</v>
      </c>
      <c r="U27" s="463">
        <f>'Tax Calculations'!U60</f>
        <v>47248.972092400654</v>
      </c>
      <c r="V27" s="463">
        <f>'Tax Calculations'!V60</f>
        <v>44260.588587545251</v>
      </c>
      <c r="W27" s="463">
        <f>'Tax Calculations'!W60</f>
        <v>41272.205082689848</v>
      </c>
      <c r="X27" s="464">
        <f>'Tax Calculations'!X60</f>
        <v>38283.821577834446</v>
      </c>
    </row>
    <row r="28" spans="1:24">
      <c r="A28" s="456"/>
      <c r="B28" s="56" t="s">
        <v>403</v>
      </c>
      <c r="C28" s="58"/>
      <c r="D28" s="58"/>
      <c r="E28" s="58"/>
      <c r="F28" s="58"/>
      <c r="G28" s="58"/>
      <c r="H28" s="58"/>
      <c r="I28" s="58"/>
      <c r="J28" s="58"/>
      <c r="K28" s="58"/>
      <c r="L28" s="58"/>
      <c r="M28" s="58"/>
      <c r="N28" s="58"/>
      <c r="O28" s="58"/>
      <c r="P28" s="58"/>
      <c r="Q28" s="58"/>
      <c r="R28" s="58"/>
      <c r="S28" s="58"/>
      <c r="T28" s="58"/>
      <c r="U28" s="58"/>
      <c r="V28" s="58"/>
      <c r="W28" s="58"/>
      <c r="X28" s="458"/>
    </row>
    <row r="29" spans="1:24">
      <c r="A29" s="456"/>
      <c r="B29" s="56" t="s">
        <v>404</v>
      </c>
      <c r="C29" s="58"/>
      <c r="D29" s="463">
        <f>'Debt Amortization'!E55</f>
        <v>175403.75</v>
      </c>
      <c r="E29" s="463">
        <f>'Debt Amortization'!F55</f>
        <v>168010.5</v>
      </c>
      <c r="F29" s="463">
        <f>'Debt Amortization'!G55</f>
        <v>157896.75</v>
      </c>
      <c r="G29" s="463">
        <f>'Debt Amortization'!H55</f>
        <v>145062.5</v>
      </c>
      <c r="H29" s="463">
        <f>'Debt Amortization'!I55</f>
        <v>137645.22</v>
      </c>
      <c r="I29" s="463">
        <f>'Debt Amortization'!J55</f>
        <v>130227.94</v>
      </c>
      <c r="J29" s="463">
        <f>'Debt Amortization'!K55</f>
        <v>121822.52</v>
      </c>
      <c r="K29" s="463">
        <f>'Debt Amortization'!L55</f>
        <v>113417.1</v>
      </c>
      <c r="L29" s="463">
        <f>'Debt Amortization'!M55</f>
        <v>99570.680000000008</v>
      </c>
      <c r="M29" s="463">
        <f>'Debt Amortization'!N55</f>
        <v>82015.62000000001</v>
      </c>
      <c r="N29" s="463">
        <f>'Debt Amortization'!O55</f>
        <v>78063.060000000012</v>
      </c>
      <c r="O29" s="463">
        <f>'Debt Amortization'!P55</f>
        <v>73122.360000000015</v>
      </c>
      <c r="P29" s="463">
        <f>'Debt Amortization'!Q55</f>
        <v>68181.660000000018</v>
      </c>
      <c r="Q29" s="463">
        <f>'Debt Amortization'!R55</f>
        <v>63240.960000000021</v>
      </c>
      <c r="R29" s="463">
        <f>'Debt Amortization'!S55</f>
        <v>58300.260000000024</v>
      </c>
      <c r="S29" s="463">
        <f>'Debt Amortization'!T55</f>
        <v>53359.560000000027</v>
      </c>
      <c r="T29" s="463">
        <f>'Debt Amortization'!U55</f>
        <v>43478.160000000025</v>
      </c>
      <c r="U29" s="463">
        <f>'Debt Amortization'!V55</f>
        <v>31620.480000000025</v>
      </c>
      <c r="V29" s="463">
        <f>'Debt Amortization'!W55</f>
        <v>16798.380000000026</v>
      </c>
      <c r="W29" s="463">
        <f>'Debt Amortization'!X55</f>
        <v>0</v>
      </c>
      <c r="X29" s="464">
        <f>'Debt Amortization'!Y55</f>
        <v>0</v>
      </c>
    </row>
    <row r="30" spans="1:24">
      <c r="A30" s="456"/>
      <c r="B30" s="56" t="s">
        <v>405</v>
      </c>
      <c r="C30" s="58"/>
      <c r="D30" s="461">
        <v>0</v>
      </c>
      <c r="E30" s="461">
        <v>0</v>
      </c>
      <c r="F30" s="461">
        <v>0</v>
      </c>
      <c r="G30" s="461">
        <v>0</v>
      </c>
      <c r="H30" s="461">
        <v>0</v>
      </c>
      <c r="I30" s="461">
        <v>0</v>
      </c>
      <c r="J30" s="461">
        <v>0</v>
      </c>
      <c r="K30" s="461">
        <v>0</v>
      </c>
      <c r="L30" s="461">
        <v>0</v>
      </c>
      <c r="M30" s="461">
        <v>0</v>
      </c>
      <c r="N30" s="461">
        <v>0</v>
      </c>
      <c r="O30" s="461">
        <v>0</v>
      </c>
      <c r="P30" s="461">
        <v>0</v>
      </c>
      <c r="Q30" s="461">
        <v>0</v>
      </c>
      <c r="R30" s="461">
        <v>0</v>
      </c>
      <c r="S30" s="461">
        <v>0</v>
      </c>
      <c r="T30" s="461">
        <v>0</v>
      </c>
      <c r="U30" s="461">
        <v>0</v>
      </c>
      <c r="V30" s="461">
        <v>0</v>
      </c>
      <c r="W30" s="461">
        <v>0</v>
      </c>
      <c r="X30" s="462">
        <v>0</v>
      </c>
    </row>
    <row r="31" spans="1:24">
      <c r="A31" s="473" t="s">
        <v>406</v>
      </c>
      <c r="B31" s="58"/>
      <c r="C31" s="58"/>
      <c r="D31" s="463">
        <f>SUM(D25:D30)</f>
        <v>176020.02116526972</v>
      </c>
      <c r="E31" s="463">
        <f t="shared" ref="E31:X31" si="3">SUM(E25:E30)</f>
        <v>172562.29848452684</v>
      </c>
      <c r="F31" s="463">
        <f t="shared" si="3"/>
        <v>166609.25487924123</v>
      </c>
      <c r="G31" s="463">
        <f t="shared" si="3"/>
        <v>160353.89733329651</v>
      </c>
      <c r="H31" s="463">
        <f t="shared" si="3"/>
        <v>164923.84633823312</v>
      </c>
      <c r="I31" s="463">
        <f t="shared" si="3"/>
        <v>167676.83382630322</v>
      </c>
      <c r="J31" s="463">
        <f t="shared" si="3"/>
        <v>162296.74974168022</v>
      </c>
      <c r="K31" s="463">
        <f t="shared" si="3"/>
        <v>159069.03178860951</v>
      </c>
      <c r="L31" s="463">
        <f t="shared" si="3"/>
        <v>150458.72165860591</v>
      </c>
      <c r="M31" s="463">
        <f t="shared" si="3"/>
        <v>126016.75924765502</v>
      </c>
      <c r="N31" s="463">
        <f t="shared" si="3"/>
        <v>127443.26207180336</v>
      </c>
      <c r="O31" s="463">
        <f t="shared" si="3"/>
        <v>127966.29493738484</v>
      </c>
      <c r="P31" s="463">
        <f t="shared" si="3"/>
        <v>128556.31655059296</v>
      </c>
      <c r="Q31" s="463">
        <f t="shared" si="3"/>
        <v>126640.32223082875</v>
      </c>
      <c r="R31" s="463">
        <f t="shared" si="3"/>
        <v>127391.2386533504</v>
      </c>
      <c r="S31" s="463">
        <f t="shared" si="3"/>
        <v>125287.66333379911</v>
      </c>
      <c r="T31" s="463">
        <f t="shared" si="3"/>
        <v>97540.664404771</v>
      </c>
      <c r="U31" s="463">
        <f t="shared" si="3"/>
        <v>85715.361791886768</v>
      </c>
      <c r="V31" s="463">
        <f t="shared" si="3"/>
        <v>71059.505816759192</v>
      </c>
      <c r="W31" s="463">
        <f t="shared" si="3"/>
        <v>24863.909518260618</v>
      </c>
      <c r="X31" s="464">
        <f t="shared" si="3"/>
        <v>25222.270359693466</v>
      </c>
    </row>
    <row r="32" spans="1:24">
      <c r="A32" s="440"/>
      <c r="B32" s="58"/>
      <c r="C32" s="58"/>
      <c r="D32" s="58"/>
      <c r="E32" s="58"/>
      <c r="F32" s="58"/>
      <c r="G32" s="58"/>
      <c r="H32" s="58"/>
      <c r="I32" s="58"/>
      <c r="J32" s="58"/>
      <c r="K32" s="58"/>
      <c r="L32" s="58"/>
      <c r="M32" s="58"/>
      <c r="N32" s="58"/>
      <c r="O32" s="58"/>
      <c r="P32" s="58"/>
      <c r="Q32" s="58"/>
      <c r="R32" s="58"/>
      <c r="S32" s="58"/>
      <c r="T32" s="58"/>
      <c r="U32" s="58"/>
      <c r="V32" s="58"/>
      <c r="W32" s="58"/>
      <c r="X32" s="458"/>
    </row>
    <row r="33" spans="1:24">
      <c r="A33" s="457" t="s">
        <v>407</v>
      </c>
      <c r="B33" s="58"/>
      <c r="C33" s="58"/>
      <c r="D33" s="58"/>
      <c r="E33" s="58"/>
      <c r="F33" s="58"/>
      <c r="G33" s="58"/>
      <c r="H33" s="58"/>
      <c r="I33" s="58"/>
      <c r="J33" s="58"/>
      <c r="K33" s="58"/>
      <c r="L33" s="58"/>
      <c r="M33" s="58"/>
      <c r="N33" s="58"/>
      <c r="O33" s="58"/>
      <c r="P33" s="58"/>
      <c r="Q33" s="58"/>
      <c r="R33" s="58"/>
      <c r="S33" s="58"/>
      <c r="T33" s="58"/>
      <c r="U33" s="58"/>
      <c r="V33" s="58"/>
      <c r="W33" s="58"/>
      <c r="X33" s="458"/>
    </row>
    <row r="34" spans="1:24">
      <c r="A34" s="456"/>
      <c r="B34" s="33" t="s">
        <v>412</v>
      </c>
      <c r="C34" s="58"/>
      <c r="D34" s="463">
        <f>'Project Assumptions'!$C$8-SUM('Book Income Statement'!$D$68:D68)</f>
        <v>72175.363000000012</v>
      </c>
      <c r="E34" s="463">
        <f>'Project Assumptions'!$C$8-SUM('Book Income Statement'!$D$68:E68)</f>
        <v>72175.363000000012</v>
      </c>
      <c r="F34" s="463">
        <f>'Project Assumptions'!$C$8-SUM('Book Income Statement'!$D$68:F68)</f>
        <v>72175.363000000012</v>
      </c>
      <c r="G34" s="463">
        <f>'Project Assumptions'!$C$8-SUM('Book Income Statement'!$D$68:G68)</f>
        <v>72175.363000000012</v>
      </c>
      <c r="H34" s="463">
        <f>'Project Assumptions'!$C$8-SUM('Book Income Statement'!$D$68:H68)</f>
        <v>72175.363000000012</v>
      </c>
      <c r="I34" s="463">
        <f>'Project Assumptions'!$C$8-SUM('Book Income Statement'!$D$68:I68)</f>
        <v>72175.363000000012</v>
      </c>
      <c r="J34" s="463">
        <f>'Project Assumptions'!$C$8-SUM('Book Income Statement'!$D$68:J68)</f>
        <v>72175.363000000012</v>
      </c>
      <c r="K34" s="463">
        <f>'Project Assumptions'!$C$8-SUM('Book Income Statement'!$D$68:K68)</f>
        <v>72175.363000000012</v>
      </c>
      <c r="L34" s="463">
        <f>'Project Assumptions'!$C$8-SUM('Book Income Statement'!$D$68:L68)</f>
        <v>72175.363000000012</v>
      </c>
      <c r="M34" s="463">
        <f>'Project Assumptions'!$C$8-SUM('Book Income Statement'!$D$68:M68)</f>
        <v>72175.363000000012</v>
      </c>
      <c r="N34" s="463">
        <f>'Project Assumptions'!$C$8-SUM('Book Income Statement'!$D$68:N68)</f>
        <v>72175.363000000012</v>
      </c>
      <c r="O34" s="463">
        <f>'Project Assumptions'!$C$8-SUM('Book Income Statement'!$D$68:O68)</f>
        <v>72175.363000000012</v>
      </c>
      <c r="P34" s="463">
        <f>'Project Assumptions'!$C$8-SUM('Book Income Statement'!$D$68:P68)</f>
        <v>72175.363000000012</v>
      </c>
      <c r="Q34" s="463">
        <f>'Project Assumptions'!$C$8-SUM('Book Income Statement'!$D$68:Q68)</f>
        <v>72175.363000000012</v>
      </c>
      <c r="R34" s="463">
        <f>'Project Assumptions'!$C$8-SUM('Book Income Statement'!$D$68:R68)</f>
        <v>72175.363000000012</v>
      </c>
      <c r="S34" s="463">
        <f>'Project Assumptions'!$C$8-SUM('Book Income Statement'!$D$68:S68)</f>
        <v>72175.363000000012</v>
      </c>
      <c r="T34" s="463">
        <f>'Project Assumptions'!$C$8-SUM('Book Income Statement'!$D$68:T68)</f>
        <v>72175.363000000012</v>
      </c>
      <c r="U34" s="463">
        <f>'Project Assumptions'!$C$8-SUM('Book Income Statement'!$D$68:U68)</f>
        <v>72175.363000000012</v>
      </c>
      <c r="V34" s="463">
        <f>'Project Assumptions'!$C$8-SUM('Book Income Statement'!$D$68:V68)</f>
        <v>72175.363000000012</v>
      </c>
      <c r="W34" s="463">
        <f>'Project Assumptions'!$C$8-SUM('Book Income Statement'!$D$68:W68)</f>
        <v>72175.363000000012</v>
      </c>
      <c r="X34" s="464">
        <f>'Project Assumptions'!$C$8-SUM('Book Income Statement'!$D$68:X68)</f>
        <v>72175.363000000012</v>
      </c>
    </row>
    <row r="35" spans="1:24">
      <c r="A35" s="456"/>
      <c r="B35" s="33" t="s">
        <v>410</v>
      </c>
      <c r="C35" s="58"/>
      <c r="D35" s="474">
        <f>'Book Income Statement'!D77-'Cash Flow Statement'!D38</f>
        <v>4055.2130563969363</v>
      </c>
      <c r="E35" s="474">
        <f>D35+'Book Income Statement'!E77-'Cash Flow Statement'!E38</f>
        <v>1579.0624531398207</v>
      </c>
      <c r="F35" s="474">
        <f>E35+'Book Income Statement'!F77-'Cash Flow Statement'!F38</f>
        <v>1655.490820505428</v>
      </c>
      <c r="G35" s="474">
        <f>F35+'Book Income Statement'!G77-'Cash Flow Statement'!G38</f>
        <v>193.35004471254069</v>
      </c>
      <c r="H35" s="474">
        <f>G35+'Book Income Statement'!H77-'Cash Flow Statement'!H38</f>
        <v>-10133.493349595394</v>
      </c>
      <c r="I35" s="474">
        <f>H35+'Book Income Statement'!I77-'Cash Flow Statement'!I38</f>
        <v>-18400.675530784625</v>
      </c>
      <c r="J35" s="474">
        <f>I35+'Book Income Statement'!J77-'Cash Flow Statement'!J38</f>
        <v>-20417.702872144844</v>
      </c>
      <c r="K35" s="474">
        <f>J35+'Book Income Statement'!K77-'Cash Flow Statement'!K38</f>
        <v>-22444.691491854584</v>
      </c>
      <c r="L35" s="474">
        <f>K35+'Book Income Statement'!L77-'Cash Flow Statement'!L38</f>
        <v>-19020.718833214807</v>
      </c>
      <c r="M35" s="474">
        <f>L35+'Book Income Statement'!M77-'Cash Flow Statement'!M38</f>
        <v>-11856.083170402679</v>
      </c>
      <c r="N35" s="474">
        <f>M35+'Book Income Statement'!N77-'Cash Flow Statement'!N38</f>
        <v>-18325.970511762898</v>
      </c>
      <c r="O35" s="474">
        <f>N35+'Book Income Statement'!O77-'Cash Flow Statement'!O38</f>
        <v>-23817.67913147264</v>
      </c>
      <c r="P35" s="474">
        <f>O35+'Book Income Statement'!P77-'Cash Flow Statement'!P38</f>
        <v>-29299.426472832856</v>
      </c>
      <c r="Q35" s="474">
        <f>P35+'Book Income Statement'!Q77-'Cash Flow Statement'!Q38</f>
        <v>-34749.150810020721</v>
      </c>
      <c r="R35" s="474">
        <f>Q35+'Book Income Statement'!R77-'Cash Flow Statement'!R38</f>
        <v>-40230.898151380934</v>
      </c>
      <c r="S35" s="474">
        <f>R35+'Book Income Statement'!S77-'Cash Flow Statement'!S38</f>
        <v>-42774.068379633347</v>
      </c>
      <c r="T35" s="474">
        <f>S35+'Book Income Statement'!T77-'Cash Flow Statement'!T38</f>
        <v>-37437.961494777948</v>
      </c>
      <c r="U35" s="474">
        <f>T35+'Book Income Statement'!U77-'Cash Flow Statement'!U38</f>
        <v>-30083.590327400674</v>
      </c>
      <c r="V35" s="474">
        <f>U35+'Book Income Statement'!V77-'Cash Flow Statement'!V38</f>
        <v>-19806.783442545275</v>
      </c>
      <c r="W35" s="474">
        <f>V35+'Book Income Statement'!W77-'Cash Flow Statement'!W38</f>
        <v>-7553.6965576898729</v>
      </c>
      <c r="X35" s="475">
        <f>W35+'Book Income Statement'!X77-'Cash Flow Statement'!X38</f>
        <v>-12098.989672834476</v>
      </c>
    </row>
    <row r="36" spans="1:24">
      <c r="A36" s="456"/>
      <c r="B36" s="33" t="s">
        <v>411</v>
      </c>
      <c r="C36" s="58"/>
      <c r="D36" s="465">
        <f t="shared" ref="D36:X36" si="4">SUM(D34:D35)</f>
        <v>76230.576056396952</v>
      </c>
      <c r="E36" s="465">
        <f t="shared" si="4"/>
        <v>73754.425453139833</v>
      </c>
      <c r="F36" s="465">
        <f t="shared" si="4"/>
        <v>73830.853820505436</v>
      </c>
      <c r="G36" s="465">
        <f t="shared" si="4"/>
        <v>72368.713044712553</v>
      </c>
      <c r="H36" s="465">
        <f t="shared" si="4"/>
        <v>62041.869650404617</v>
      </c>
      <c r="I36" s="465">
        <f t="shared" si="4"/>
        <v>53774.687469215387</v>
      </c>
      <c r="J36" s="465">
        <f t="shared" si="4"/>
        <v>51757.660127855168</v>
      </c>
      <c r="K36" s="465">
        <f t="shared" si="4"/>
        <v>49730.671508145431</v>
      </c>
      <c r="L36" s="465">
        <f t="shared" si="4"/>
        <v>53154.644166785205</v>
      </c>
      <c r="M36" s="465">
        <f t="shared" si="4"/>
        <v>60319.279829597333</v>
      </c>
      <c r="N36" s="465">
        <f t="shared" si="4"/>
        <v>53849.392488237114</v>
      </c>
      <c r="O36" s="465">
        <f t="shared" si="4"/>
        <v>48357.683868527369</v>
      </c>
      <c r="P36" s="465">
        <f t="shared" si="4"/>
        <v>42875.936527167156</v>
      </c>
      <c r="Q36" s="465">
        <f t="shared" si="4"/>
        <v>37426.212189979291</v>
      </c>
      <c r="R36" s="465">
        <f t="shared" si="4"/>
        <v>31944.464848619078</v>
      </c>
      <c r="S36" s="465">
        <f t="shared" si="4"/>
        <v>29401.294620366665</v>
      </c>
      <c r="T36" s="465">
        <f t="shared" si="4"/>
        <v>34737.401505222064</v>
      </c>
      <c r="U36" s="465">
        <f t="shared" si="4"/>
        <v>42091.772672599342</v>
      </c>
      <c r="V36" s="465">
        <f t="shared" si="4"/>
        <v>52368.579557454737</v>
      </c>
      <c r="W36" s="465">
        <f t="shared" si="4"/>
        <v>64621.666442310139</v>
      </c>
      <c r="X36" s="466">
        <f t="shared" si="4"/>
        <v>60076.373327165536</v>
      </c>
    </row>
    <row r="37" spans="1:24">
      <c r="A37" s="473" t="s">
        <v>408</v>
      </c>
      <c r="B37" s="58"/>
      <c r="C37" s="58"/>
      <c r="D37" s="463">
        <f t="shared" ref="D37:X37" si="5">D31+D36</f>
        <v>252250.59722166666</v>
      </c>
      <c r="E37" s="463">
        <f t="shared" si="5"/>
        <v>246316.72393766668</v>
      </c>
      <c r="F37" s="463">
        <f t="shared" si="5"/>
        <v>240440.10869974666</v>
      </c>
      <c r="G37" s="463">
        <f t="shared" si="5"/>
        <v>232722.61037800906</v>
      </c>
      <c r="H37" s="463">
        <f t="shared" si="5"/>
        <v>226965.71598863773</v>
      </c>
      <c r="I37" s="463">
        <f t="shared" si="5"/>
        <v>221451.52129551861</v>
      </c>
      <c r="J37" s="463">
        <f t="shared" si="5"/>
        <v>214054.40986953539</v>
      </c>
      <c r="K37" s="463">
        <f t="shared" si="5"/>
        <v>208799.70329675495</v>
      </c>
      <c r="L37" s="463">
        <f t="shared" si="5"/>
        <v>203613.36582539111</v>
      </c>
      <c r="M37" s="463">
        <f t="shared" si="5"/>
        <v>186336.03907725235</v>
      </c>
      <c r="N37" s="463">
        <f t="shared" si="5"/>
        <v>181292.65456004048</v>
      </c>
      <c r="O37" s="463">
        <f t="shared" si="5"/>
        <v>176323.97880591219</v>
      </c>
      <c r="P37" s="463">
        <f t="shared" si="5"/>
        <v>171432.25307776011</v>
      </c>
      <c r="Q37" s="463">
        <f t="shared" si="5"/>
        <v>164066.53442080805</v>
      </c>
      <c r="R37" s="463">
        <f t="shared" si="5"/>
        <v>159335.70350196949</v>
      </c>
      <c r="S37" s="463">
        <f t="shared" si="5"/>
        <v>154688.95795416576</v>
      </c>
      <c r="T37" s="463">
        <f t="shared" si="5"/>
        <v>132278.06590999308</v>
      </c>
      <c r="U37" s="463">
        <f t="shared" si="5"/>
        <v>127807.13446448611</v>
      </c>
      <c r="V37" s="463">
        <f t="shared" si="5"/>
        <v>123428.08537421393</v>
      </c>
      <c r="W37" s="463">
        <f t="shared" si="5"/>
        <v>89485.575960570757</v>
      </c>
      <c r="X37" s="464">
        <f t="shared" si="5"/>
        <v>85298.643686858995</v>
      </c>
    </row>
    <row r="38" spans="1:24">
      <c r="A38" s="440"/>
      <c r="B38" s="58"/>
      <c r="C38" s="58"/>
      <c r="D38" s="58"/>
      <c r="E38" s="58"/>
      <c r="F38" s="58"/>
      <c r="G38" s="58"/>
      <c r="H38" s="58"/>
      <c r="I38" s="58"/>
      <c r="J38" s="58"/>
      <c r="K38" s="58"/>
      <c r="L38" s="58"/>
      <c r="M38" s="58"/>
      <c r="N38" s="58"/>
      <c r="O38" s="58"/>
      <c r="P38" s="58"/>
      <c r="Q38" s="58"/>
      <c r="R38" s="58"/>
      <c r="S38" s="58"/>
      <c r="T38" s="58"/>
      <c r="U38" s="58"/>
      <c r="V38" s="58"/>
      <c r="W38" s="58"/>
      <c r="X38" s="458"/>
    </row>
    <row r="39" spans="1:24">
      <c r="A39" s="476" t="s">
        <v>409</v>
      </c>
      <c r="B39" s="59"/>
      <c r="C39" s="59"/>
      <c r="D39" s="60">
        <f t="shared" ref="D39:X39" si="6">IF(D4&gt;ProjectLife+1,0,D22-D37)</f>
        <v>2.9103830456733704E-11</v>
      </c>
      <c r="E39" s="60">
        <f t="shared" si="6"/>
        <v>0</v>
      </c>
      <c r="F39" s="60">
        <f t="shared" si="6"/>
        <v>0</v>
      </c>
      <c r="G39" s="60">
        <f t="shared" si="6"/>
        <v>0</v>
      </c>
      <c r="H39" s="60">
        <f t="shared" si="6"/>
        <v>0</v>
      </c>
      <c r="I39" s="60">
        <f t="shared" si="6"/>
        <v>0</v>
      </c>
      <c r="J39" s="60">
        <f t="shared" si="6"/>
        <v>0</v>
      </c>
      <c r="K39" s="60">
        <f t="shared" si="6"/>
        <v>0</v>
      </c>
      <c r="L39" s="60">
        <f t="shared" si="6"/>
        <v>0</v>
      </c>
      <c r="M39" s="60">
        <f t="shared" si="6"/>
        <v>2.9103830456733704E-11</v>
      </c>
      <c r="N39" s="60">
        <f t="shared" si="6"/>
        <v>2.9103830456733704E-11</v>
      </c>
      <c r="O39" s="60">
        <f t="shared" si="6"/>
        <v>2.9103830456733704E-11</v>
      </c>
      <c r="P39" s="60">
        <f t="shared" si="6"/>
        <v>0</v>
      </c>
      <c r="Q39" s="60">
        <f t="shared" si="6"/>
        <v>0</v>
      </c>
      <c r="R39" s="60">
        <f t="shared" si="6"/>
        <v>2.9103830456733704E-11</v>
      </c>
      <c r="S39" s="60">
        <f t="shared" si="6"/>
        <v>2.9103830456733704E-11</v>
      </c>
      <c r="T39" s="60">
        <f t="shared" si="6"/>
        <v>0</v>
      </c>
      <c r="U39" s="60">
        <f t="shared" si="6"/>
        <v>0</v>
      </c>
      <c r="V39" s="60">
        <f t="shared" si="6"/>
        <v>-1.4551915228366852E-11</v>
      </c>
      <c r="W39" s="60">
        <f t="shared" si="6"/>
        <v>1.4551915228366852E-11</v>
      </c>
      <c r="X39" s="477">
        <f t="shared" si="6"/>
        <v>0</v>
      </c>
    </row>
    <row r="43" spans="1:24">
      <c r="A43" s="320" t="s">
        <v>490</v>
      </c>
      <c r="B43" s="321"/>
      <c r="C43" s="321"/>
      <c r="D43" s="322" t="s">
        <v>491</v>
      </c>
      <c r="E43" s="321"/>
      <c r="F43" s="321"/>
      <c r="G43" s="321"/>
      <c r="H43" s="321"/>
      <c r="I43" s="321"/>
      <c r="J43" s="321"/>
      <c r="K43" s="321"/>
      <c r="L43" s="321"/>
      <c r="M43" s="321"/>
      <c r="N43" s="321"/>
      <c r="O43" s="321"/>
      <c r="P43" s="321"/>
      <c r="Q43" s="321"/>
      <c r="R43" s="321"/>
      <c r="S43" s="321"/>
      <c r="T43" s="321"/>
      <c r="U43" s="321"/>
      <c r="V43" s="321"/>
      <c r="W43" s="321"/>
      <c r="X43" s="323"/>
    </row>
    <row r="44" spans="1:24">
      <c r="A44" s="324">
        <f>ABS((SUM(D29:X29)-SUM(D45:X45))+(SUM(D34:X34)-SUM(D46:X46)))</f>
        <v>2.3283064365386963E-10</v>
      </c>
      <c r="B44" s="325"/>
      <c r="C44" s="325"/>
      <c r="D44" s="325"/>
      <c r="E44" s="325"/>
      <c r="F44" s="325"/>
      <c r="G44" s="325"/>
      <c r="H44" s="325"/>
      <c r="I44" s="325"/>
      <c r="J44" s="325"/>
      <c r="K44" s="325"/>
      <c r="L44" s="325"/>
      <c r="M44" s="325"/>
      <c r="N44" s="325"/>
      <c r="O44" s="325"/>
      <c r="P44" s="325"/>
      <c r="Q44" s="325"/>
      <c r="R44" s="325"/>
      <c r="S44" s="325"/>
      <c r="T44" s="325"/>
      <c r="U44" s="325"/>
      <c r="V44" s="325"/>
      <c r="W44" s="325"/>
      <c r="X44" s="326"/>
    </row>
    <row r="45" spans="1:24">
      <c r="A45" s="327"/>
      <c r="B45" s="325" t="s">
        <v>404</v>
      </c>
      <c r="C45" s="325"/>
      <c r="D45" s="328">
        <v>175403.75</v>
      </c>
      <c r="E45" s="328">
        <v>168010.5</v>
      </c>
      <c r="F45" s="328">
        <v>157896.75</v>
      </c>
      <c r="G45" s="328">
        <v>145062.5</v>
      </c>
      <c r="H45" s="328">
        <v>137645.22</v>
      </c>
      <c r="I45" s="328">
        <v>130227.94</v>
      </c>
      <c r="J45" s="328">
        <v>121822.52</v>
      </c>
      <c r="K45" s="328">
        <v>113417.1</v>
      </c>
      <c r="L45" s="328">
        <v>99570.68</v>
      </c>
      <c r="M45" s="328">
        <v>82015.62</v>
      </c>
      <c r="N45" s="328">
        <v>78063.06</v>
      </c>
      <c r="O45" s="328">
        <v>73122.36</v>
      </c>
      <c r="P45" s="328">
        <v>68181.66</v>
      </c>
      <c r="Q45" s="328">
        <v>63240.959999999999</v>
      </c>
      <c r="R45" s="328">
        <v>58300.26</v>
      </c>
      <c r="S45" s="328">
        <v>53359.56</v>
      </c>
      <c r="T45" s="328">
        <v>43478.16</v>
      </c>
      <c r="U45" s="328">
        <v>31620.48</v>
      </c>
      <c r="V45" s="328">
        <v>16798.38</v>
      </c>
      <c r="W45" s="328">
        <v>0</v>
      </c>
      <c r="X45" s="329">
        <v>0</v>
      </c>
    </row>
    <row r="46" spans="1:24">
      <c r="A46" s="330"/>
      <c r="B46" s="331" t="s">
        <v>412</v>
      </c>
      <c r="C46" s="331"/>
      <c r="D46" s="332">
        <v>72175.363000000012</v>
      </c>
      <c r="E46" s="332">
        <v>72175.363000000012</v>
      </c>
      <c r="F46" s="332">
        <v>72175.363000000012</v>
      </c>
      <c r="G46" s="332">
        <v>72175.363000000012</v>
      </c>
      <c r="H46" s="332">
        <v>72175.363000000012</v>
      </c>
      <c r="I46" s="332">
        <v>72175.363000000012</v>
      </c>
      <c r="J46" s="332">
        <v>72175.363000000012</v>
      </c>
      <c r="K46" s="332">
        <v>72175.363000000012</v>
      </c>
      <c r="L46" s="332">
        <v>72175.363000000012</v>
      </c>
      <c r="M46" s="332">
        <v>72175.363000000012</v>
      </c>
      <c r="N46" s="332">
        <v>72175.363000000012</v>
      </c>
      <c r="O46" s="332">
        <v>72175.363000000012</v>
      </c>
      <c r="P46" s="332">
        <v>72175.363000000012</v>
      </c>
      <c r="Q46" s="332">
        <v>72175.363000000012</v>
      </c>
      <c r="R46" s="332">
        <v>72175.363000000012</v>
      </c>
      <c r="S46" s="332">
        <v>72175.363000000012</v>
      </c>
      <c r="T46" s="332">
        <v>72175.363000000012</v>
      </c>
      <c r="U46" s="332">
        <v>72175.363000000012</v>
      </c>
      <c r="V46" s="332">
        <v>72175.363000000012</v>
      </c>
      <c r="W46" s="332">
        <v>72175.363000000012</v>
      </c>
      <c r="X46" s="333">
        <v>72175.363000000012</v>
      </c>
    </row>
  </sheetData>
  <printOptions horizontalCentered="1"/>
  <pageMargins left="0.75" right="0.75" top="1" bottom="1" header="0.5" footer="0.5"/>
  <pageSetup scale="55"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0"/>
  <sheetViews>
    <sheetView topLeftCell="A51" zoomScaleNormal="75" zoomScaleSheetLayoutView="85" workbookViewId="0">
      <selection activeCell="F57" sqref="F57"/>
    </sheetView>
  </sheetViews>
  <sheetFormatPr defaultColWidth="9.28515625" defaultRowHeight="11.25"/>
  <cols>
    <col min="1" max="1" width="15.85546875" style="34" customWidth="1"/>
    <col min="2" max="2" width="15" style="34" customWidth="1"/>
    <col min="3" max="3" width="16.5703125" style="34" customWidth="1"/>
    <col min="4" max="30" width="9.28515625" style="34" customWidth="1"/>
    <col min="31" max="16384" width="9.28515625" style="4"/>
  </cols>
  <sheetData>
    <row r="1" spans="1:256" ht="21.75" customHeight="1">
      <c r="A1" s="486" t="str">
        <f>'Project Assumptions'!$A$2</f>
        <v>WILTON CENTER, Will County, IL</v>
      </c>
      <c r="B1" s="539"/>
      <c r="C1" s="499"/>
      <c r="AC1" s="35"/>
      <c r="AD1" s="33"/>
    </row>
    <row r="2" spans="1:256" ht="15.6" customHeight="1">
      <c r="A2" s="490" t="s">
        <v>43</v>
      </c>
      <c r="B2" s="500"/>
      <c r="C2" s="501"/>
      <c r="D2" s="36"/>
      <c r="E2" s="36"/>
      <c r="F2" s="36"/>
      <c r="G2" s="36"/>
      <c r="H2" s="36"/>
      <c r="I2" s="36"/>
      <c r="J2" s="36"/>
      <c r="K2" s="35"/>
      <c r="L2" s="36"/>
      <c r="M2" s="36"/>
      <c r="N2" s="36"/>
      <c r="O2" s="36"/>
      <c r="P2" s="36"/>
      <c r="Q2" s="35"/>
      <c r="R2" s="36"/>
      <c r="S2" s="36"/>
      <c r="T2" s="36"/>
      <c r="U2" s="36"/>
      <c r="V2" s="36"/>
      <c r="W2" s="35"/>
      <c r="X2" s="36"/>
      <c r="Y2" s="36"/>
      <c r="Z2" s="36"/>
      <c r="AA2" s="36"/>
      <c r="AB2" s="36"/>
      <c r="AC2" s="35"/>
      <c r="AD2" s="33"/>
    </row>
    <row r="3" spans="1:256" ht="15.6" customHeight="1">
      <c r="A3" s="338"/>
      <c r="B3" s="411"/>
      <c r="C3" s="411"/>
      <c r="D3" s="36"/>
      <c r="E3" s="36"/>
      <c r="F3" s="36"/>
      <c r="G3" s="36"/>
      <c r="H3" s="36"/>
      <c r="I3" s="36"/>
      <c r="J3" s="36"/>
      <c r="K3" s="35"/>
      <c r="L3" s="36"/>
      <c r="M3" s="36"/>
      <c r="N3" s="36"/>
      <c r="O3" s="36"/>
      <c r="P3" s="36"/>
      <c r="Q3" s="35"/>
      <c r="R3" s="36"/>
      <c r="S3" s="36"/>
      <c r="T3" s="36"/>
      <c r="U3" s="36"/>
      <c r="V3" s="36"/>
      <c r="W3" s="35"/>
      <c r="X3" s="36"/>
      <c r="Y3" s="36"/>
      <c r="Z3" s="36"/>
      <c r="AA3" s="36"/>
      <c r="AB3" s="36"/>
      <c r="AC3" s="35"/>
      <c r="AD3" s="33"/>
    </row>
    <row r="4" spans="1:256" s="1" customFormat="1" ht="12.6" customHeight="1">
      <c r="A4" s="543"/>
      <c r="B4" s="58"/>
      <c r="C4" s="346"/>
      <c r="D4" s="346">
        <v>1</v>
      </c>
      <c r="E4" s="346">
        <f>D4+1</f>
        <v>2</v>
      </c>
      <c r="F4" s="346">
        <f t="shared" ref="F4:AB4" si="0">E4+1</f>
        <v>3</v>
      </c>
      <c r="G4" s="346">
        <f t="shared" si="0"/>
        <v>4</v>
      </c>
      <c r="H4" s="346">
        <f t="shared" si="0"/>
        <v>5</v>
      </c>
      <c r="I4" s="544">
        <f t="shared" si="0"/>
        <v>6</v>
      </c>
      <c r="J4" s="346">
        <f t="shared" si="0"/>
        <v>7</v>
      </c>
      <c r="K4" s="346">
        <f t="shared" si="0"/>
        <v>8</v>
      </c>
      <c r="L4" s="346">
        <f t="shared" si="0"/>
        <v>9</v>
      </c>
      <c r="M4" s="346">
        <f t="shared" si="0"/>
        <v>10</v>
      </c>
      <c r="N4" s="346">
        <f t="shared" si="0"/>
        <v>11</v>
      </c>
      <c r="O4" s="544">
        <f t="shared" si="0"/>
        <v>12</v>
      </c>
      <c r="P4" s="346">
        <f t="shared" si="0"/>
        <v>13</v>
      </c>
      <c r="Q4" s="346">
        <f t="shared" si="0"/>
        <v>14</v>
      </c>
      <c r="R4" s="346">
        <f t="shared" si="0"/>
        <v>15</v>
      </c>
      <c r="S4" s="346">
        <f t="shared" si="0"/>
        <v>16</v>
      </c>
      <c r="T4" s="346">
        <f t="shared" si="0"/>
        <v>17</v>
      </c>
      <c r="U4" s="544">
        <f t="shared" si="0"/>
        <v>18</v>
      </c>
      <c r="V4" s="346">
        <f t="shared" si="0"/>
        <v>19</v>
      </c>
      <c r="W4" s="346">
        <f t="shared" si="0"/>
        <v>20</v>
      </c>
      <c r="X4" s="346">
        <f t="shared" si="0"/>
        <v>21</v>
      </c>
      <c r="Y4" s="346">
        <f t="shared" si="0"/>
        <v>22</v>
      </c>
      <c r="Z4" s="346">
        <f t="shared" si="0"/>
        <v>23</v>
      </c>
      <c r="AA4" s="544">
        <f t="shared" si="0"/>
        <v>24</v>
      </c>
      <c r="AB4" s="346">
        <f t="shared" si="0"/>
        <v>25</v>
      </c>
      <c r="AC4" s="38"/>
      <c r="AD4" s="27"/>
    </row>
    <row r="5" spans="1:256" s="1" customFormat="1" ht="12.6" customHeight="1">
      <c r="A5" s="546"/>
      <c r="B5" s="356"/>
      <c r="C5" s="547"/>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40"/>
      <c r="AD5" s="27"/>
      <c r="AE5" s="22"/>
      <c r="AF5" s="22"/>
      <c r="AG5" s="22"/>
      <c r="AH5" s="22"/>
      <c r="AI5" s="22"/>
      <c r="AJ5" s="22"/>
      <c r="AK5" s="22"/>
      <c r="AL5" s="22"/>
      <c r="AM5" s="22"/>
      <c r="AN5" s="22"/>
      <c r="AO5" s="22"/>
      <c r="AP5" s="22"/>
      <c r="AQ5" s="22"/>
      <c r="AR5" s="22"/>
      <c r="AS5" s="22"/>
      <c r="AT5" s="22"/>
      <c r="AU5" s="22"/>
      <c r="AV5" s="22"/>
      <c r="AW5" s="22"/>
      <c r="AX5" s="22"/>
      <c r="AY5" s="22"/>
      <c r="AZ5" s="22"/>
    </row>
    <row r="6" spans="1:256" ht="12" customHeight="1">
      <c r="A6" s="413" t="s">
        <v>174</v>
      </c>
      <c r="B6" s="33"/>
      <c r="C6" s="33"/>
      <c r="D6" s="33"/>
      <c r="E6" s="33"/>
      <c r="F6" s="33"/>
      <c r="G6" s="33"/>
      <c r="H6" s="33"/>
      <c r="I6" s="33"/>
      <c r="J6" s="33"/>
      <c r="K6" s="33"/>
      <c r="L6" s="33"/>
      <c r="M6" s="33"/>
      <c r="N6" s="33"/>
      <c r="O6" s="33"/>
      <c r="P6" s="33"/>
      <c r="Q6" s="33"/>
      <c r="R6" s="33"/>
      <c r="S6" s="33"/>
      <c r="T6" s="33"/>
      <c r="U6" s="33"/>
      <c r="V6" s="33"/>
      <c r="W6" s="33"/>
      <c r="X6" s="33"/>
      <c r="Y6" s="33"/>
      <c r="Z6" s="33"/>
      <c r="AA6" s="33"/>
      <c r="AB6" s="414"/>
      <c r="AC6" s="33"/>
      <c r="AD6" s="33"/>
    </row>
    <row r="7" spans="1:256" ht="12" customHeight="1">
      <c r="A7" s="413"/>
      <c r="B7" s="33"/>
      <c r="C7" s="33"/>
      <c r="D7" s="33"/>
      <c r="E7" s="33"/>
      <c r="F7" s="33"/>
      <c r="G7" s="33"/>
      <c r="H7" s="33"/>
      <c r="I7" s="33"/>
      <c r="J7" s="33"/>
      <c r="K7" s="33"/>
      <c r="L7" s="33"/>
      <c r="M7" s="33"/>
      <c r="N7" s="33"/>
      <c r="O7" s="33"/>
      <c r="P7" s="33"/>
      <c r="Q7" s="33"/>
      <c r="R7" s="33"/>
      <c r="S7" s="33"/>
      <c r="T7" s="33"/>
      <c r="U7" s="33"/>
      <c r="V7" s="33"/>
      <c r="W7" s="33"/>
      <c r="X7" s="33"/>
      <c r="Y7" s="33"/>
      <c r="Z7" s="33"/>
      <c r="AA7" s="33"/>
      <c r="AB7" s="414"/>
      <c r="AC7" s="33"/>
      <c r="AD7" s="33"/>
    </row>
    <row r="8" spans="1:256" s="21" customFormat="1" ht="12" customHeight="1">
      <c r="A8" s="415" t="s">
        <v>181</v>
      </c>
      <c r="B8" s="33"/>
      <c r="C8" s="33"/>
      <c r="D8" s="43"/>
      <c r="E8" s="43"/>
      <c r="F8" s="43"/>
      <c r="G8" s="43"/>
      <c r="H8" s="43"/>
      <c r="I8" s="43"/>
      <c r="J8" s="43"/>
      <c r="K8" s="43"/>
      <c r="L8" s="43"/>
      <c r="M8" s="43"/>
      <c r="N8" s="43"/>
      <c r="O8" s="43"/>
      <c r="P8" s="43"/>
      <c r="Q8" s="43"/>
      <c r="R8" s="43"/>
      <c r="S8" s="43"/>
      <c r="T8" s="43"/>
      <c r="U8" s="43"/>
      <c r="V8" s="43"/>
      <c r="W8" s="43"/>
      <c r="X8" s="43"/>
      <c r="Y8" s="43"/>
      <c r="Z8" s="43"/>
      <c r="AA8" s="43"/>
      <c r="AB8" s="416"/>
      <c r="AC8" s="33"/>
      <c r="AD8" s="3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c r="IE8" s="23"/>
      <c r="IF8" s="23"/>
      <c r="IG8" s="23"/>
      <c r="IH8" s="23"/>
      <c r="II8" s="23"/>
      <c r="IJ8" s="23"/>
      <c r="IK8" s="23"/>
      <c r="IL8" s="23"/>
      <c r="IM8" s="23"/>
      <c r="IN8" s="23"/>
      <c r="IO8" s="23"/>
      <c r="IP8" s="23"/>
      <c r="IQ8" s="23"/>
      <c r="IR8" s="23"/>
      <c r="IS8" s="23"/>
      <c r="IT8" s="23"/>
      <c r="IU8" s="23"/>
      <c r="IV8" s="23"/>
    </row>
    <row r="9" spans="1:256" s="21" customFormat="1" ht="12" customHeight="1">
      <c r="A9" s="188" t="s">
        <v>420</v>
      </c>
      <c r="B9" s="33"/>
      <c r="C9" s="33"/>
      <c r="D9" s="43">
        <f>BS!D46</f>
        <v>72175.363000000012</v>
      </c>
      <c r="E9" s="43">
        <f>BS!E46</f>
        <v>72175.363000000012</v>
      </c>
      <c r="F9" s="43">
        <f>BS!F46</f>
        <v>72175.363000000012</v>
      </c>
      <c r="G9" s="43">
        <f>BS!G46</f>
        <v>72175.363000000012</v>
      </c>
      <c r="H9" s="43">
        <f>BS!H46</f>
        <v>72175.363000000012</v>
      </c>
      <c r="I9" s="43">
        <f>BS!I46</f>
        <v>72175.363000000012</v>
      </c>
      <c r="J9" s="43">
        <f>BS!J46</f>
        <v>72175.363000000012</v>
      </c>
      <c r="K9" s="43">
        <f>BS!K46</f>
        <v>72175.363000000012</v>
      </c>
      <c r="L9" s="43">
        <f>BS!L46</f>
        <v>72175.363000000012</v>
      </c>
      <c r="M9" s="43">
        <f>BS!M46</f>
        <v>72175.363000000012</v>
      </c>
      <c r="N9" s="43">
        <f>BS!N46</f>
        <v>72175.363000000012</v>
      </c>
      <c r="O9" s="43">
        <f>BS!O46</f>
        <v>72175.363000000012</v>
      </c>
      <c r="P9" s="43">
        <f>BS!P46</f>
        <v>72175.363000000012</v>
      </c>
      <c r="Q9" s="43">
        <f>BS!Q46</f>
        <v>72175.363000000012</v>
      </c>
      <c r="R9" s="43">
        <f>BS!R46</f>
        <v>72175.363000000012</v>
      </c>
      <c r="S9" s="43">
        <f>BS!S46</f>
        <v>72175.363000000012</v>
      </c>
      <c r="T9" s="43">
        <f>BS!T46</f>
        <v>72175.363000000012</v>
      </c>
      <c r="U9" s="43">
        <f>BS!U46</f>
        <v>72175.363000000012</v>
      </c>
      <c r="V9" s="43">
        <f>BS!V46</f>
        <v>72175.363000000012</v>
      </c>
      <c r="W9" s="43">
        <f>BS!W46</f>
        <v>72175.363000000012</v>
      </c>
      <c r="X9" s="43">
        <f>BS!X46</f>
        <v>72175.363000000012</v>
      </c>
      <c r="Y9" s="43">
        <f>BS!Y46</f>
        <v>0</v>
      </c>
      <c r="Z9" s="43">
        <f>BS!Z46</f>
        <v>0</v>
      </c>
      <c r="AA9" s="43">
        <f>BS!AA46</f>
        <v>0</v>
      </c>
      <c r="AB9" s="416">
        <f>BS!AB46</f>
        <v>0</v>
      </c>
      <c r="AC9" s="33"/>
      <c r="AD9" s="3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c r="IE9" s="23"/>
      <c r="IF9" s="23"/>
      <c r="IG9" s="23"/>
      <c r="IH9" s="23"/>
      <c r="II9" s="23"/>
      <c r="IJ9" s="23"/>
      <c r="IK9" s="23"/>
      <c r="IL9" s="23"/>
      <c r="IM9" s="23"/>
      <c r="IN9" s="23"/>
      <c r="IO9" s="23"/>
      <c r="IP9" s="23"/>
      <c r="IQ9" s="23"/>
      <c r="IR9" s="23"/>
      <c r="IS9" s="23"/>
      <c r="IT9" s="23"/>
      <c r="IU9" s="23"/>
      <c r="IV9" s="23"/>
    </row>
    <row r="10" spans="1:256" s="10" customFormat="1" ht="12" customHeight="1">
      <c r="A10" s="188" t="s">
        <v>182</v>
      </c>
      <c r="B10" s="33"/>
      <c r="C10" s="33"/>
      <c r="D10" s="52">
        <f>IF(D$4&gt;'Project Assumptions'!$I$15+1,0,'Project Assumptions'!$N$68)</f>
        <v>1.5E-3</v>
      </c>
      <c r="E10" s="52">
        <f>IF(E$4&gt;'Project Assumptions'!$I$15+1,0,'Project Assumptions'!$N$69)</f>
        <v>1E-3</v>
      </c>
      <c r="F10" s="52">
        <f>IF(F$4&gt;'Project Assumptions'!$I$15+1,0,'Project Assumptions'!$N$69)</f>
        <v>1E-3</v>
      </c>
      <c r="G10" s="52">
        <f>IF(G$4&gt;'Project Assumptions'!$I$15+1,0,'Project Assumptions'!$N$69)</f>
        <v>1E-3</v>
      </c>
      <c r="H10" s="52">
        <f>IF(H$4&gt;'Project Assumptions'!$I$15+1,0,'Project Assumptions'!$N$69)</f>
        <v>1E-3</v>
      </c>
      <c r="I10" s="52">
        <f>IF(I$4&gt;'Project Assumptions'!$I$15+1,0,'Project Assumptions'!$N$69)</f>
        <v>1E-3</v>
      </c>
      <c r="J10" s="52">
        <f>IF(J$4&gt;'Project Assumptions'!$I$15+1,0,'Project Assumptions'!$N$69)</f>
        <v>1E-3</v>
      </c>
      <c r="K10" s="52">
        <f>IF(K$4&gt;'Project Assumptions'!$I$15+1,0,'Project Assumptions'!$N$69)</f>
        <v>1E-3</v>
      </c>
      <c r="L10" s="52">
        <f>IF(L$4&gt;'Project Assumptions'!$I$15+1,0,'Project Assumptions'!$N$69)</f>
        <v>1E-3</v>
      </c>
      <c r="M10" s="52">
        <f>IF(M$4&gt;'Project Assumptions'!$I$15+1,0,'Project Assumptions'!$N$69)</f>
        <v>1E-3</v>
      </c>
      <c r="N10" s="52">
        <f>IF(N$4&gt;'Project Assumptions'!$I$15+1,0,'Project Assumptions'!$N$69)</f>
        <v>1E-3</v>
      </c>
      <c r="O10" s="52">
        <f>IF(O$4&gt;'Project Assumptions'!$I$15+1,0,'Project Assumptions'!$N$69)</f>
        <v>1E-3</v>
      </c>
      <c r="P10" s="52">
        <f>IF(P$4&gt;'Project Assumptions'!$I$15+1,0,'Project Assumptions'!$N$69)</f>
        <v>1E-3</v>
      </c>
      <c r="Q10" s="52">
        <f>IF(Q$4&gt;'Project Assumptions'!$I$15+1,0,'Project Assumptions'!$N$69)</f>
        <v>1E-3</v>
      </c>
      <c r="R10" s="52">
        <f>IF(R$4&gt;'Project Assumptions'!$I$15+1,0,'Project Assumptions'!$N$69)</f>
        <v>1E-3</v>
      </c>
      <c r="S10" s="52">
        <f>IF(S$4&gt;'Project Assumptions'!$I$15+1,0,'Project Assumptions'!$N$69)</f>
        <v>1E-3</v>
      </c>
      <c r="T10" s="52">
        <f>IF(T$4&gt;'Project Assumptions'!$I$15+1,0,'Project Assumptions'!$N$69)</f>
        <v>1E-3</v>
      </c>
      <c r="U10" s="52">
        <f>IF(U$4&gt;'Project Assumptions'!$I$15+1,0,'Project Assumptions'!$N$69)</f>
        <v>1E-3</v>
      </c>
      <c r="V10" s="52">
        <f>IF(V$4&gt;'Project Assumptions'!$I$15+1,0,'Project Assumptions'!$N$69)</f>
        <v>1E-3</v>
      </c>
      <c r="W10" s="52">
        <f>IF(W$4&gt;'Project Assumptions'!$I$15+1,0,'Project Assumptions'!$N$69)</f>
        <v>1E-3</v>
      </c>
      <c r="X10" s="52">
        <f>IF(X$4&gt;'Project Assumptions'!$I$15+1,0,'Project Assumptions'!$N$69)</f>
        <v>1E-3</v>
      </c>
      <c r="Y10" s="52">
        <f>IF(Y$4&gt;'Project Assumptions'!$I$15+1,0,'Project Assumptions'!$N$69)</f>
        <v>0</v>
      </c>
      <c r="Z10" s="52">
        <f>IF(Z$4&gt;'Project Assumptions'!$I$15+1,0,'Project Assumptions'!$N$69)</f>
        <v>0</v>
      </c>
      <c r="AA10" s="52">
        <f>IF(AA$4&gt;'Project Assumptions'!$I$15+1,0,'Project Assumptions'!$N$69)</f>
        <v>0</v>
      </c>
      <c r="AB10" s="417">
        <f>IF(AB$4&gt;'Project Assumptions'!$I$15+1,0,'Project Assumptions'!$N$69)</f>
        <v>0</v>
      </c>
      <c r="AC10" s="49"/>
      <c r="AD10" s="49"/>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c r="IE10" s="23"/>
      <c r="IF10" s="23"/>
      <c r="IG10" s="23"/>
      <c r="IH10" s="23"/>
      <c r="II10" s="23"/>
      <c r="IJ10" s="23"/>
      <c r="IK10" s="23"/>
      <c r="IL10" s="23"/>
      <c r="IM10" s="23"/>
      <c r="IN10" s="23"/>
      <c r="IO10" s="23"/>
      <c r="IP10" s="23"/>
      <c r="IQ10" s="23"/>
      <c r="IR10" s="23"/>
      <c r="IS10" s="23"/>
    </row>
    <row r="11" spans="1:256" s="10" customFormat="1" ht="12" customHeight="1">
      <c r="A11" s="418" t="s">
        <v>183</v>
      </c>
      <c r="B11" s="263"/>
      <c r="C11" s="263"/>
      <c r="D11" s="294">
        <f>D9*D10</f>
        <v>108.26304450000002</v>
      </c>
      <c r="E11" s="294">
        <f t="shared" ref="E11:AB11" si="2">E9*E10</f>
        <v>72.175363000000019</v>
      </c>
      <c r="F11" s="294">
        <f t="shared" si="2"/>
        <v>72.175363000000019</v>
      </c>
      <c r="G11" s="294">
        <f t="shared" si="2"/>
        <v>72.175363000000019</v>
      </c>
      <c r="H11" s="294">
        <f t="shared" si="2"/>
        <v>72.175363000000019</v>
      </c>
      <c r="I11" s="294">
        <f t="shared" si="2"/>
        <v>72.175363000000019</v>
      </c>
      <c r="J11" s="294">
        <f t="shared" si="2"/>
        <v>72.175363000000019</v>
      </c>
      <c r="K11" s="294">
        <f t="shared" si="2"/>
        <v>72.175363000000019</v>
      </c>
      <c r="L11" s="294">
        <f t="shared" si="2"/>
        <v>72.175363000000019</v>
      </c>
      <c r="M11" s="294">
        <f t="shared" si="2"/>
        <v>72.175363000000019</v>
      </c>
      <c r="N11" s="294">
        <f t="shared" si="2"/>
        <v>72.175363000000019</v>
      </c>
      <c r="O11" s="294">
        <f t="shared" si="2"/>
        <v>72.175363000000019</v>
      </c>
      <c r="P11" s="294">
        <f t="shared" si="2"/>
        <v>72.175363000000019</v>
      </c>
      <c r="Q11" s="294">
        <f t="shared" si="2"/>
        <v>72.175363000000019</v>
      </c>
      <c r="R11" s="294">
        <f t="shared" si="2"/>
        <v>72.175363000000019</v>
      </c>
      <c r="S11" s="294">
        <f t="shared" si="2"/>
        <v>72.175363000000019</v>
      </c>
      <c r="T11" s="294">
        <f t="shared" si="2"/>
        <v>72.175363000000019</v>
      </c>
      <c r="U11" s="294">
        <f t="shared" si="2"/>
        <v>72.175363000000019</v>
      </c>
      <c r="V11" s="294">
        <f t="shared" si="2"/>
        <v>72.175363000000019</v>
      </c>
      <c r="W11" s="294">
        <f t="shared" si="2"/>
        <v>72.175363000000019</v>
      </c>
      <c r="X11" s="294">
        <f t="shared" si="2"/>
        <v>72.175363000000019</v>
      </c>
      <c r="Y11" s="294">
        <f t="shared" si="2"/>
        <v>0</v>
      </c>
      <c r="Z11" s="294">
        <f t="shared" si="2"/>
        <v>0</v>
      </c>
      <c r="AA11" s="294">
        <f t="shared" si="2"/>
        <v>0</v>
      </c>
      <c r="AB11" s="419">
        <f t="shared" si="2"/>
        <v>0</v>
      </c>
      <c r="AC11" s="33"/>
      <c r="AD11" s="49"/>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c r="IE11" s="23"/>
      <c r="IF11" s="23"/>
      <c r="IG11" s="23"/>
      <c r="IH11" s="23"/>
      <c r="II11" s="23"/>
      <c r="IJ11" s="23"/>
      <c r="IK11" s="23"/>
      <c r="IL11" s="23"/>
      <c r="IM11" s="23"/>
      <c r="IN11" s="23"/>
      <c r="IO11" s="23"/>
      <c r="IP11" s="23"/>
      <c r="IQ11" s="23"/>
      <c r="IR11" s="23"/>
      <c r="IS11" s="23"/>
      <c r="IT11" s="23"/>
      <c r="IU11" s="23"/>
    </row>
    <row r="12" spans="1:256" s="10" customFormat="1" ht="12" customHeight="1">
      <c r="A12" s="420"/>
      <c r="B12" s="3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421"/>
      <c r="AC12" s="54"/>
      <c r="AD12" s="54"/>
    </row>
    <row r="13" spans="1:256" s="21" customFormat="1" ht="12" customHeight="1">
      <c r="A13" s="188"/>
      <c r="B13" s="33"/>
      <c r="C13" s="33"/>
      <c r="D13" s="43"/>
      <c r="E13" s="43"/>
      <c r="F13" s="43"/>
      <c r="G13" s="43"/>
      <c r="H13" s="43"/>
      <c r="I13" s="43"/>
      <c r="J13" s="43"/>
      <c r="K13" s="43"/>
      <c r="L13" s="43"/>
      <c r="M13" s="43"/>
      <c r="N13" s="43"/>
      <c r="O13" s="43"/>
      <c r="P13" s="43"/>
      <c r="Q13" s="43"/>
      <c r="R13" s="43"/>
      <c r="S13" s="43"/>
      <c r="T13" s="43"/>
      <c r="U13" s="43"/>
      <c r="V13" s="43"/>
      <c r="W13" s="43"/>
      <c r="X13" s="43"/>
      <c r="Y13" s="43"/>
      <c r="Z13" s="43"/>
      <c r="AA13" s="43"/>
      <c r="AB13" s="416"/>
      <c r="AC13" s="33"/>
      <c r="AD13" s="3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c r="IE13" s="23"/>
      <c r="IF13" s="23"/>
      <c r="IG13" s="23"/>
      <c r="IH13" s="23"/>
      <c r="II13" s="23"/>
      <c r="IJ13" s="23"/>
      <c r="IK13" s="23"/>
      <c r="IL13" s="23"/>
      <c r="IM13" s="23"/>
      <c r="IN13" s="23"/>
      <c r="IO13" s="23"/>
      <c r="IP13" s="23"/>
      <c r="IQ13" s="23"/>
      <c r="IR13" s="23"/>
      <c r="IS13" s="23"/>
      <c r="IT13" s="23"/>
      <c r="IU13" s="23"/>
      <c r="IV13" s="23"/>
    </row>
    <row r="14" spans="1:256" s="21" customFormat="1" ht="12" customHeight="1">
      <c r="A14" s="422" t="s">
        <v>175</v>
      </c>
      <c r="B14" s="33"/>
      <c r="C14" s="33"/>
      <c r="D14" s="53"/>
      <c r="E14" s="53"/>
      <c r="F14" s="53"/>
      <c r="G14" s="53"/>
      <c r="H14" s="53"/>
      <c r="I14" s="53"/>
      <c r="J14" s="53"/>
      <c r="K14" s="53"/>
      <c r="L14" s="53"/>
      <c r="M14" s="53"/>
      <c r="N14" s="53"/>
      <c r="O14" s="53"/>
      <c r="P14" s="53"/>
      <c r="Q14" s="53"/>
      <c r="R14" s="53"/>
      <c r="S14" s="53"/>
      <c r="T14" s="53"/>
      <c r="U14" s="53"/>
      <c r="V14" s="53"/>
      <c r="W14" s="53"/>
      <c r="X14" s="53"/>
      <c r="Y14" s="53"/>
      <c r="Z14" s="53"/>
      <c r="AA14" s="53"/>
      <c r="AB14" s="423"/>
      <c r="AC14" s="33"/>
      <c r="AD14" s="3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c r="IE14" s="23"/>
      <c r="IF14" s="23"/>
      <c r="IG14" s="23"/>
      <c r="IH14" s="23"/>
      <c r="II14" s="23"/>
      <c r="IJ14" s="23"/>
      <c r="IK14" s="23"/>
      <c r="IL14" s="23"/>
      <c r="IM14" s="23"/>
      <c r="IN14" s="23"/>
      <c r="IO14" s="23"/>
      <c r="IP14" s="23"/>
      <c r="IQ14" s="23"/>
      <c r="IR14" s="23"/>
      <c r="IS14" s="23"/>
      <c r="IT14" s="23"/>
      <c r="IU14" s="23"/>
      <c r="IV14" s="23"/>
    </row>
    <row r="15" spans="1:256" s="21" customFormat="1" ht="12" customHeight="1">
      <c r="A15" s="188" t="s">
        <v>342</v>
      </c>
      <c r="B15" s="33"/>
      <c r="C15" s="33"/>
      <c r="D15" s="43">
        <f>('Book Income Statement'!D11)*(AnnualHours-TVA_hours)/AnnualHours</f>
        <v>21838.752</v>
      </c>
      <c r="E15" s="43">
        <f>('Book Income Statement'!E11)*(AnnualHours-TVA_hours)/AnnualHours</f>
        <v>21838.752</v>
      </c>
      <c r="F15" s="43">
        <f>('Book Income Statement'!F11)*(AnnualHours-TVA_hours)/AnnualHours</f>
        <v>21838.752</v>
      </c>
      <c r="G15" s="43">
        <f>('Book Income Statement'!G11)*(AnnualHours-TVA_hours)/AnnualHours</f>
        <v>22886.812396337496</v>
      </c>
      <c r="H15" s="43">
        <f>('Book Income Statement'!H11)*(AnnualHours-TVA_hours)/AnnualHours</f>
        <v>23440.092858000004</v>
      </c>
      <c r="I15" s="43">
        <f>('Book Income Statement'!I11)*(AnnualHours-TVA_hours)/AnnualHours</f>
        <v>23440.092858000004</v>
      </c>
      <c r="J15" s="43">
        <f>('Book Income Statement'!J11)*(AnnualHours-TVA_hours)/AnnualHours</f>
        <v>23440.092858000004</v>
      </c>
      <c r="K15" s="43">
        <f>('Book Income Statement'!K11)*(AnnualHours-TVA_hours)/AnnualHours</f>
        <v>23440.092858000004</v>
      </c>
      <c r="L15" s="43">
        <f>('Book Income Statement'!L11)*(AnnualHours-TVA_hours)/AnnualHours</f>
        <v>23440.092858000004</v>
      </c>
      <c r="M15" s="43">
        <f>('Book Income Statement'!M11)*(AnnualHours-TVA_hours)/AnnualHours</f>
        <v>23440.092858000004</v>
      </c>
      <c r="N15" s="43">
        <f>('Book Income Statement'!N11)*(AnnualHours-TVA_hours)/AnnualHours</f>
        <v>23440.092858000004</v>
      </c>
      <c r="O15" s="43">
        <f>('Book Income Statement'!O11)*(AnnualHours-TVA_hours)/AnnualHours</f>
        <v>23440.092858000004</v>
      </c>
      <c r="P15" s="43">
        <f>('Book Income Statement'!P11)*(AnnualHours-TVA_hours)/AnnualHours</f>
        <v>23440.092858000004</v>
      </c>
      <c r="Q15" s="43">
        <f>('Book Income Statement'!Q11)*(AnnualHours-TVA_hours)/AnnualHours</f>
        <v>23440.092858000004</v>
      </c>
      <c r="R15" s="43">
        <f>('Book Income Statement'!R11)*(AnnualHours-TVA_hours)/AnnualHours</f>
        <v>23440.092858000004</v>
      </c>
      <c r="S15" s="43">
        <f>('Book Income Statement'!S11)*(AnnualHours-TVA_hours)/AnnualHours</f>
        <v>23440.092858000004</v>
      </c>
      <c r="T15" s="43">
        <f>('Book Income Statement'!T11)*(AnnualHours-TVA_hours)/AnnualHours</f>
        <v>23440.092858000004</v>
      </c>
      <c r="U15" s="43">
        <f>('Book Income Statement'!U11)*(AnnualHours-TVA_hours)/AnnualHours</f>
        <v>23440.092858000004</v>
      </c>
      <c r="V15" s="43">
        <f>('Book Income Statement'!V11)*(AnnualHours-TVA_hours)/AnnualHours</f>
        <v>23440.092858000004</v>
      </c>
      <c r="W15" s="43">
        <f>('Book Income Statement'!W11)*(AnnualHours-TVA_hours)/AnnualHours</f>
        <v>23440.092858000004</v>
      </c>
      <c r="X15" s="43">
        <f>('Book Income Statement'!X11)*(AnnualHours-TVA_hours)/AnnualHours</f>
        <v>9880.6502533374969</v>
      </c>
      <c r="Y15" s="43">
        <f>('Book Income Statement'!Y11)*(AnnualHours-TVA_hours)/AnnualHours</f>
        <v>0</v>
      </c>
      <c r="Z15" s="43">
        <f>('Book Income Statement'!Z11)*(AnnualHours-TVA_hours)/AnnualHours</f>
        <v>0</v>
      </c>
      <c r="AA15" s="43">
        <f>('Book Income Statement'!AA11)*(AnnualHours-TVA_hours)/AnnualHours</f>
        <v>0</v>
      </c>
      <c r="AB15" s="416">
        <f>('Book Income Statement'!AB11)*(AnnualHours-TVA_hours)/AnnualHours</f>
        <v>0</v>
      </c>
      <c r="AC15" s="33"/>
      <c r="AD15" s="3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row>
    <row r="16" spans="1:256" s="21" customFormat="1" ht="12" customHeight="1">
      <c r="A16" s="188" t="s">
        <v>176</v>
      </c>
      <c r="B16" s="33"/>
      <c r="C16" s="33"/>
      <c r="D16" s="52">
        <f>IF(D$4&gt;'Project Assumptions'!$I$15+1,0,'Project Assumptions'!$N$67)</f>
        <v>0</v>
      </c>
      <c r="E16" s="52">
        <f>IF(E4&gt;'Project Assumptions'!$I$15+1,0,'Project Assumptions'!$N$67)</f>
        <v>0</v>
      </c>
      <c r="F16" s="52">
        <f>IF(F4&gt;'Project Assumptions'!$I$15+1,0,'Project Assumptions'!$N$67)</f>
        <v>0</v>
      </c>
      <c r="G16" s="52">
        <f>IF(G4&gt;'Project Assumptions'!$I$15+1,0,'Project Assumptions'!$N$67)</f>
        <v>0</v>
      </c>
      <c r="H16" s="52">
        <f>IF(H4&gt;'Project Assumptions'!$I$15+1,0,'Project Assumptions'!$N$67)</f>
        <v>0</v>
      </c>
      <c r="I16" s="52">
        <f>IF(I4&gt;'Project Assumptions'!$I$15+1,0,'Project Assumptions'!$N$67)</f>
        <v>0</v>
      </c>
      <c r="J16" s="52">
        <f>IF(J4&gt;'Project Assumptions'!$I$15+1,0,'Project Assumptions'!$N$67)</f>
        <v>0</v>
      </c>
      <c r="K16" s="52">
        <f>IF(K4&gt;'Project Assumptions'!$I$15+1,0,'Project Assumptions'!$N$67)</f>
        <v>0</v>
      </c>
      <c r="L16" s="52">
        <f>IF(L4&gt;'Project Assumptions'!$I$15+1,0,'Project Assumptions'!$N$67)</f>
        <v>0</v>
      </c>
      <c r="M16" s="52">
        <f>IF(M4&gt;'Project Assumptions'!$I$15+1,0,'Project Assumptions'!$N$67)</f>
        <v>0</v>
      </c>
      <c r="N16" s="52">
        <f>IF(N4&gt;'Project Assumptions'!$I$15+1,0,'Project Assumptions'!$N$67)</f>
        <v>0</v>
      </c>
      <c r="O16" s="52">
        <f>IF(O4&gt;'Project Assumptions'!$I$15+1,0,'Project Assumptions'!$N$67)</f>
        <v>0</v>
      </c>
      <c r="P16" s="52">
        <f>IF(P4&gt;'Project Assumptions'!$I$15+1,0,'Project Assumptions'!$N$67)</f>
        <v>0</v>
      </c>
      <c r="Q16" s="52">
        <f>IF(Q4&gt;'Project Assumptions'!$I$15+1,0,'Project Assumptions'!$N$67)</f>
        <v>0</v>
      </c>
      <c r="R16" s="52">
        <f>IF(R4&gt;'Project Assumptions'!$I$15+1,0,'Project Assumptions'!$N$67)</f>
        <v>0</v>
      </c>
      <c r="S16" s="52">
        <f>IF(S4&gt;'Project Assumptions'!$I$15+1,0,'Project Assumptions'!$N$67)</f>
        <v>0</v>
      </c>
      <c r="T16" s="52">
        <f>IF(T4&gt;'Project Assumptions'!$I$15+1,0,'Project Assumptions'!$N$67)</f>
        <v>0</v>
      </c>
      <c r="U16" s="52">
        <f>IF(U4&gt;'Project Assumptions'!$I$15+1,0,'Project Assumptions'!$N$67)</f>
        <v>0</v>
      </c>
      <c r="V16" s="52">
        <f>IF(V4&gt;'Project Assumptions'!$I$15+1,0,'Project Assumptions'!$N$67)</f>
        <v>0</v>
      </c>
      <c r="W16" s="52">
        <f>IF(W4&gt;'Project Assumptions'!$I$15+1,0,'Project Assumptions'!$N$67)</f>
        <v>0</v>
      </c>
      <c r="X16" s="52">
        <f>IF(X4&gt;'Project Assumptions'!$I$15+1,0,'Project Assumptions'!$N$67)</f>
        <v>0</v>
      </c>
      <c r="Y16" s="52">
        <f>IF(Y4&gt;'Project Assumptions'!$I$15+1,0,'Project Assumptions'!$N$67)</f>
        <v>0</v>
      </c>
      <c r="Z16" s="52">
        <f>IF(Z4&gt;'Project Assumptions'!$I$15+1,0,'Project Assumptions'!$N$67)</f>
        <v>0</v>
      </c>
      <c r="AA16" s="52">
        <f>IF(AA4&gt;'Project Assumptions'!$I$15+1,0,'Project Assumptions'!$N$67)</f>
        <v>0</v>
      </c>
      <c r="AB16" s="417">
        <f>IF(AB4&gt;'Project Assumptions'!$I$15+1,0,'Project Assumptions'!$N$67)</f>
        <v>0</v>
      </c>
      <c r="AC16" s="33"/>
      <c r="AD16" s="3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c r="IE16" s="23"/>
      <c r="IF16" s="23"/>
      <c r="IG16" s="23"/>
      <c r="IH16" s="23"/>
      <c r="II16" s="23"/>
      <c r="IJ16" s="23"/>
      <c r="IK16" s="23"/>
      <c r="IL16" s="23"/>
      <c r="IM16" s="23"/>
      <c r="IN16" s="23"/>
      <c r="IO16" s="23"/>
      <c r="IP16" s="23"/>
      <c r="IQ16" s="23"/>
      <c r="IR16" s="23"/>
      <c r="IS16" s="23"/>
      <c r="IT16" s="23"/>
      <c r="IU16" s="23"/>
      <c r="IV16" s="23"/>
    </row>
    <row r="17" spans="1:256" s="21" customFormat="1" ht="12" customHeight="1">
      <c r="A17" s="424" t="s">
        <v>177</v>
      </c>
      <c r="B17" s="263"/>
      <c r="C17" s="263"/>
      <c r="D17" s="294">
        <f>D15*D16</f>
        <v>0</v>
      </c>
      <c r="E17" s="294">
        <f t="shared" ref="E17:AB17" si="3">E15*E16</f>
        <v>0</v>
      </c>
      <c r="F17" s="294">
        <f t="shared" si="3"/>
        <v>0</v>
      </c>
      <c r="G17" s="294">
        <f t="shared" si="3"/>
        <v>0</v>
      </c>
      <c r="H17" s="294">
        <f t="shared" si="3"/>
        <v>0</v>
      </c>
      <c r="I17" s="294">
        <f t="shared" si="3"/>
        <v>0</v>
      </c>
      <c r="J17" s="294">
        <f t="shared" si="3"/>
        <v>0</v>
      </c>
      <c r="K17" s="294">
        <f t="shared" si="3"/>
        <v>0</v>
      </c>
      <c r="L17" s="294">
        <f t="shared" si="3"/>
        <v>0</v>
      </c>
      <c r="M17" s="294">
        <f t="shared" si="3"/>
        <v>0</v>
      </c>
      <c r="N17" s="294">
        <f t="shared" si="3"/>
        <v>0</v>
      </c>
      <c r="O17" s="294">
        <f t="shared" si="3"/>
        <v>0</v>
      </c>
      <c r="P17" s="294">
        <f t="shared" si="3"/>
        <v>0</v>
      </c>
      <c r="Q17" s="294">
        <f t="shared" si="3"/>
        <v>0</v>
      </c>
      <c r="R17" s="294">
        <f t="shared" si="3"/>
        <v>0</v>
      </c>
      <c r="S17" s="294">
        <f t="shared" si="3"/>
        <v>0</v>
      </c>
      <c r="T17" s="294">
        <f t="shared" si="3"/>
        <v>0</v>
      </c>
      <c r="U17" s="294">
        <f t="shared" si="3"/>
        <v>0</v>
      </c>
      <c r="V17" s="294">
        <f t="shared" si="3"/>
        <v>0</v>
      </c>
      <c r="W17" s="294">
        <f t="shared" si="3"/>
        <v>0</v>
      </c>
      <c r="X17" s="294">
        <f t="shared" si="3"/>
        <v>0</v>
      </c>
      <c r="Y17" s="294">
        <f t="shared" si="3"/>
        <v>0</v>
      </c>
      <c r="Z17" s="294">
        <f t="shared" si="3"/>
        <v>0</v>
      </c>
      <c r="AA17" s="294">
        <f t="shared" si="3"/>
        <v>0</v>
      </c>
      <c r="AB17" s="419">
        <f t="shared" si="3"/>
        <v>0</v>
      </c>
      <c r="AC17" s="33"/>
      <c r="AD17" s="3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c r="IE17" s="23"/>
      <c r="IF17" s="23"/>
      <c r="IG17" s="23"/>
      <c r="IH17" s="23"/>
      <c r="II17" s="23"/>
      <c r="IJ17" s="23"/>
      <c r="IK17" s="23"/>
      <c r="IL17" s="23"/>
      <c r="IM17" s="23"/>
      <c r="IN17" s="23"/>
      <c r="IO17" s="23"/>
      <c r="IP17" s="23"/>
      <c r="IQ17" s="23"/>
      <c r="IR17" s="23"/>
      <c r="IS17" s="23"/>
      <c r="IT17" s="23"/>
      <c r="IU17" s="23"/>
      <c r="IV17" s="23"/>
    </row>
    <row r="18" spans="1:256" s="21" customFormat="1" ht="12" customHeight="1">
      <c r="A18" s="188"/>
      <c r="B18" s="33"/>
      <c r="C18" s="33"/>
      <c r="D18" s="43"/>
      <c r="E18" s="43"/>
      <c r="F18" s="43"/>
      <c r="G18" s="43"/>
      <c r="H18" s="43"/>
      <c r="I18" s="43"/>
      <c r="J18" s="43"/>
      <c r="K18" s="43"/>
      <c r="L18" s="43"/>
      <c r="M18" s="43"/>
      <c r="N18" s="43"/>
      <c r="O18" s="43"/>
      <c r="P18" s="43"/>
      <c r="Q18" s="43"/>
      <c r="R18" s="43"/>
      <c r="S18" s="43"/>
      <c r="T18" s="43"/>
      <c r="U18" s="43"/>
      <c r="V18" s="43"/>
      <c r="W18" s="43"/>
      <c r="X18" s="43"/>
      <c r="Y18" s="43"/>
      <c r="Z18" s="43"/>
      <c r="AA18" s="43"/>
      <c r="AB18" s="416"/>
      <c r="AC18" s="33"/>
      <c r="AD18" s="3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c r="IE18" s="23"/>
      <c r="IF18" s="23"/>
      <c r="IG18" s="23"/>
      <c r="IH18" s="23"/>
      <c r="II18" s="23"/>
      <c r="IJ18" s="23"/>
      <c r="IK18" s="23"/>
      <c r="IL18" s="23"/>
      <c r="IM18" s="23"/>
      <c r="IN18" s="23"/>
      <c r="IO18" s="23"/>
      <c r="IP18" s="23"/>
      <c r="IQ18" s="23"/>
      <c r="IR18" s="23"/>
      <c r="IS18" s="23"/>
      <c r="IT18" s="23"/>
      <c r="IU18" s="23"/>
      <c r="IV18" s="23"/>
    </row>
    <row r="19" spans="1:256" ht="12" customHeight="1">
      <c r="A19" s="422" t="s">
        <v>469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414"/>
      <c r="AC19" s="33"/>
      <c r="AD19" s="33"/>
    </row>
    <row r="20" spans="1:256" s="17" customFormat="1" ht="12" customHeight="1">
      <c r="A20" s="188" t="s">
        <v>95</v>
      </c>
      <c r="B20" s="425"/>
      <c r="C20" s="43"/>
      <c r="D20" s="43">
        <f>'Book Income Statement'!D74</f>
        <v>-3999.8211504421051</v>
      </c>
      <c r="E20" s="43">
        <f>'Book Income Statement'!E74</f>
        <v>5109.853992631437</v>
      </c>
      <c r="F20" s="43">
        <f>'Book Income Statement'!F74</f>
        <v>5533.180761424841</v>
      </c>
      <c r="G20" s="43">
        <f>'Book Income Statement'!G74</f>
        <v>16270.239634438922</v>
      </c>
      <c r="H20" s="43">
        <f>'Book Income Statement'!H74</f>
        <v>24961.929498847734</v>
      </c>
      <c r="I20" s="43">
        <f>'Book Income Statement'!I74</f>
        <v>27102.110167186358</v>
      </c>
      <c r="J20" s="43">
        <f>'Book Income Statement'!J74</f>
        <v>27548.105959124718</v>
      </c>
      <c r="K20" s="43">
        <f>'Book Income Statement'!K74</f>
        <v>28734.235991291007</v>
      </c>
      <c r="L20" s="43">
        <f>'Book Income Statement'!L74</f>
        <v>29910.972549049115</v>
      </c>
      <c r="M20" s="43">
        <f>'Book Income Statement'!M74</f>
        <v>31531.666228889397</v>
      </c>
      <c r="N20" s="43">
        <f>'Book Income Statement'!N74</f>
        <v>33385.090593895213</v>
      </c>
      <c r="O20" s="43">
        <f>'Book Income Statement'!O74</f>
        <v>34196.121127399063</v>
      </c>
      <c r="P20" s="43">
        <f>'Book Income Statement'!P74</f>
        <v>35074.085500374546</v>
      </c>
      <c r="Q20" s="43">
        <f>'Book Income Statement'!Q74</f>
        <v>35979.390246110423</v>
      </c>
      <c r="R20" s="43">
        <f>'Book Income Statement'!R74</f>
        <v>36825.680636100595</v>
      </c>
      <c r="S20" s="43">
        <f>'Book Income Statement'!S74</f>
        <v>37654.062658457246</v>
      </c>
      <c r="T20" s="43">
        <f>'Book Income Statement'!T74</f>
        <v>38463.063884105308</v>
      </c>
      <c r="U20" s="43">
        <f>'Book Income Statement'!U74</f>
        <v>39697.798001809635</v>
      </c>
      <c r="V20" s="43">
        <f>'Book Income Statement'!V74</f>
        <v>41029.137389454467</v>
      </c>
      <c r="W20" s="43">
        <f>'Book Income Statement'!W74</f>
        <v>41374.136437486515</v>
      </c>
      <c r="X20" s="43">
        <f>'Book Income Statement'!X74</f>
        <v>11989.22152647345</v>
      </c>
      <c r="Y20" s="43">
        <f>'Book Income Statement'!Y74</f>
        <v>0</v>
      </c>
      <c r="Z20" s="43">
        <f>'Book Income Statement'!Z74</f>
        <v>0</v>
      </c>
      <c r="AA20" s="43">
        <f>'Book Income Statement'!AA74</f>
        <v>0</v>
      </c>
      <c r="AB20" s="416">
        <f>'Book Income Statement'!AB74</f>
        <v>0</v>
      </c>
      <c r="AC20" s="43"/>
      <c r="AD20" s="43"/>
    </row>
    <row r="21" spans="1:256" s="17" customFormat="1" ht="12" customHeight="1">
      <c r="A21" s="188" t="s">
        <v>470</v>
      </c>
      <c r="B21" s="425"/>
      <c r="C21" s="43"/>
      <c r="D21" s="43">
        <f t="shared" ref="D21:AB21" si="4">SUM(D20:D20)</f>
        <v>-3999.8211504421051</v>
      </c>
      <c r="E21" s="43">
        <f t="shared" si="4"/>
        <v>5109.853992631437</v>
      </c>
      <c r="F21" s="43">
        <f t="shared" si="4"/>
        <v>5533.180761424841</v>
      </c>
      <c r="G21" s="43">
        <f t="shared" si="4"/>
        <v>16270.239634438922</v>
      </c>
      <c r="H21" s="43">
        <f t="shared" si="4"/>
        <v>24961.929498847734</v>
      </c>
      <c r="I21" s="43">
        <f t="shared" si="4"/>
        <v>27102.110167186358</v>
      </c>
      <c r="J21" s="43">
        <f t="shared" si="4"/>
        <v>27548.105959124718</v>
      </c>
      <c r="K21" s="43">
        <f t="shared" si="4"/>
        <v>28734.235991291007</v>
      </c>
      <c r="L21" s="43">
        <f t="shared" si="4"/>
        <v>29910.972549049115</v>
      </c>
      <c r="M21" s="43">
        <f t="shared" si="4"/>
        <v>31531.666228889397</v>
      </c>
      <c r="N21" s="43">
        <f t="shared" si="4"/>
        <v>33385.090593895213</v>
      </c>
      <c r="O21" s="43">
        <f t="shared" si="4"/>
        <v>34196.121127399063</v>
      </c>
      <c r="P21" s="43">
        <f t="shared" si="4"/>
        <v>35074.085500374546</v>
      </c>
      <c r="Q21" s="43">
        <f t="shared" si="4"/>
        <v>35979.390246110423</v>
      </c>
      <c r="R21" s="43">
        <f t="shared" si="4"/>
        <v>36825.680636100595</v>
      </c>
      <c r="S21" s="43">
        <f t="shared" si="4"/>
        <v>37654.062658457246</v>
      </c>
      <c r="T21" s="43">
        <f t="shared" si="4"/>
        <v>38463.063884105308</v>
      </c>
      <c r="U21" s="43">
        <f t="shared" si="4"/>
        <v>39697.798001809635</v>
      </c>
      <c r="V21" s="43">
        <f t="shared" si="4"/>
        <v>41029.137389454467</v>
      </c>
      <c r="W21" s="43">
        <f t="shared" si="4"/>
        <v>41374.136437486515</v>
      </c>
      <c r="X21" s="43">
        <f t="shared" si="4"/>
        <v>11989.22152647345</v>
      </c>
      <c r="Y21" s="43">
        <f t="shared" si="4"/>
        <v>0</v>
      </c>
      <c r="Z21" s="43">
        <f t="shared" si="4"/>
        <v>0</v>
      </c>
      <c r="AA21" s="43">
        <f t="shared" si="4"/>
        <v>0</v>
      </c>
      <c r="AB21" s="416">
        <f t="shared" si="4"/>
        <v>0</v>
      </c>
      <c r="AC21" s="43"/>
      <c r="AD21" s="43"/>
    </row>
    <row r="22" spans="1:256" ht="12" customHeight="1">
      <c r="A22" s="188" t="s">
        <v>36</v>
      </c>
      <c r="B22" s="33"/>
      <c r="C22" s="44"/>
      <c r="D22" s="46">
        <f>'Book Income Statement'!D67</f>
        <v>4574.7769783333342</v>
      </c>
      <c r="E22" s="46">
        <f>'Book Income Statement'!E67</f>
        <v>7842.4748200000013</v>
      </c>
      <c r="F22" s="46">
        <f>'Book Income Statement'!F67</f>
        <v>7842.4748200000013</v>
      </c>
      <c r="G22" s="46">
        <f>'Book Income Statement'!G67</f>
        <v>7842.4748200000013</v>
      </c>
      <c r="H22" s="46">
        <f>'Book Income Statement'!H67</f>
        <v>7842.4748200000013</v>
      </c>
      <c r="I22" s="46">
        <f>'Book Income Statement'!I67</f>
        <v>7662.3425366666679</v>
      </c>
      <c r="J22" s="46">
        <f>'Book Income Statement'!J67</f>
        <v>7533.6766200000011</v>
      </c>
      <c r="K22" s="46">
        <f>'Book Income Statement'!K67</f>
        <v>7533.6766200000011</v>
      </c>
      <c r="L22" s="46">
        <f>'Book Income Statement'!L67</f>
        <v>7533.6766200000011</v>
      </c>
      <c r="M22" s="46">
        <f>'Book Income Statement'!M67</f>
        <v>7533.6766200000011</v>
      </c>
      <c r="N22" s="46">
        <f>'Book Income Statement'!N67</f>
        <v>7533.6766200000011</v>
      </c>
      <c r="O22" s="46">
        <f>'Book Income Statement'!O67</f>
        <v>7533.6766200000011</v>
      </c>
      <c r="P22" s="46">
        <f>'Book Income Statement'!P67</f>
        <v>7533.6766200000011</v>
      </c>
      <c r="Q22" s="46">
        <f>'Book Income Statement'!Q67</f>
        <v>7533.6766200000011</v>
      </c>
      <c r="R22" s="46">
        <f>'Book Income Statement'!R67</f>
        <v>7533.6766200000011</v>
      </c>
      <c r="S22" s="46">
        <f>'Book Income Statement'!S67</f>
        <v>7533.6766200000011</v>
      </c>
      <c r="T22" s="46">
        <f>'Book Income Statement'!T67</f>
        <v>7533.6766200000011</v>
      </c>
      <c r="U22" s="46">
        <f>'Book Income Statement'!U67</f>
        <v>7533.6766200000011</v>
      </c>
      <c r="V22" s="46">
        <f>'Book Income Statement'!V67</f>
        <v>7533.6766200000011</v>
      </c>
      <c r="W22" s="46">
        <f>'Book Income Statement'!W67</f>
        <v>7533.6766200000011</v>
      </c>
      <c r="X22" s="46">
        <f>'Book Income Statement'!X67</f>
        <v>7533.6766200000011</v>
      </c>
      <c r="Y22" s="46">
        <f>'Book Income Statement'!Y67</f>
        <v>0</v>
      </c>
      <c r="Z22" s="46">
        <f>'Book Income Statement'!Z67</f>
        <v>0</v>
      </c>
      <c r="AA22" s="46">
        <f>'Book Income Statement'!AA67</f>
        <v>0</v>
      </c>
      <c r="AB22" s="426">
        <f>'Book Income Statement'!AB67</f>
        <v>0</v>
      </c>
      <c r="AC22" s="46"/>
      <c r="AD22" s="46"/>
    </row>
    <row r="23" spans="1:256" s="12" customFormat="1" ht="12" customHeight="1">
      <c r="A23" s="188" t="s">
        <v>178</v>
      </c>
      <c r="B23" s="33"/>
      <c r="C23" s="33"/>
      <c r="D23" s="50">
        <f>IF(D4&lt;='Project Assumptions'!$I$15+1,Depreciation!D28*-1,0)</f>
        <v>-12736.259983333333</v>
      </c>
      <c r="E23" s="50">
        <f>IF(E4&lt;='Project Assumptions'!$I$15+1,Depreciation!E28*-1,0)</f>
        <v>-24165.440830000003</v>
      </c>
      <c r="F23" s="50">
        <f>IF(F4&lt;='Project Assumptions'!$I$15+1,Depreciation!F28*-1,0)</f>
        <v>-21779.776567000004</v>
      </c>
      <c r="G23" s="50">
        <f>IF(G4&lt;='Project Assumptions'!$I$15+1,Depreciation!G28*-1,0)</f>
        <v>-19645.234858</v>
      </c>
      <c r="H23" s="50">
        <f>IF(H4&lt;='Project Assumptions'!$I$15+1,Depreciation!H28*-1,0)</f>
        <v>-17711.591192200001</v>
      </c>
      <c r="I23" s="50">
        <f>IF(I4&lt;='Project Assumptions'!$I$15+1,Depreciation!I28*-1,0)</f>
        <v>-15773.601030866668</v>
      </c>
      <c r="J23" s="50">
        <f>IF(J4&lt;='Project Assumptions'!$I$15+1,Depreciation!J28*-1,0)</f>
        <v>-14816.230685999999</v>
      </c>
      <c r="K23" s="50">
        <f>IF(K4&lt;='Project Assumptions'!$I$15+1,Depreciation!K28*-1,0)</f>
        <v>-14841.3429414</v>
      </c>
      <c r="L23" s="50">
        <f>IF(L4&lt;='Project Assumptions'!$I$15+1,Depreciation!L28*-1,0)</f>
        <v>-14816.230685999999</v>
      </c>
      <c r="M23" s="50">
        <f>IF(M4&lt;='Project Assumptions'!$I$15+1,Depreciation!M28*-1,0)</f>
        <v>-14841.3429414</v>
      </c>
      <c r="N23" s="50">
        <f>IF(N4&lt;='Project Assumptions'!$I$15+1,Depreciation!N28*-1,0)</f>
        <v>-14816.230685999999</v>
      </c>
      <c r="O23" s="50">
        <f>IF(O4&lt;='Project Assumptions'!$I$15+1,Depreciation!O28*-1,0)</f>
        <v>-14841.3429414</v>
      </c>
      <c r="P23" s="50">
        <f>IF(P4&lt;='Project Assumptions'!$I$15+1,Depreciation!P28*-1,0)</f>
        <v>-14816.230685999999</v>
      </c>
      <c r="Q23" s="50">
        <f>IF(Q4&lt;='Project Assumptions'!$I$15+1,Depreciation!Q28*-1,0)</f>
        <v>-14841.3429414</v>
      </c>
      <c r="R23" s="50">
        <f>IF(R4&lt;='Project Assumptions'!$I$15+1,Depreciation!R28*-1,0)</f>
        <v>-14816.230685999999</v>
      </c>
      <c r="S23" s="50">
        <f>IF(S4&lt;='Project Assumptions'!$I$15+1,Depreciation!S28*-1,0)</f>
        <v>-7408.1153429999995</v>
      </c>
      <c r="T23" s="50">
        <f>IF(T4&lt;='Project Assumptions'!$I$15+1,Depreciation!T28*-1,0)</f>
        <v>0</v>
      </c>
      <c r="U23" s="50">
        <f>IF(U4&lt;='Project Assumptions'!$I$15+1,Depreciation!U28*-1,0)</f>
        <v>0</v>
      </c>
      <c r="V23" s="50">
        <f>IF(V4&lt;='Project Assumptions'!$I$15+1,Depreciation!V28*-1,0)</f>
        <v>0</v>
      </c>
      <c r="W23" s="50">
        <f>IF(W4&lt;='Project Assumptions'!$I$15+1,Depreciation!W28*-1,0)</f>
        <v>0</v>
      </c>
      <c r="X23" s="50">
        <f>IF(X4&lt;='Project Assumptions'!$I$15+1,Depreciation!X28*-1,0)</f>
        <v>0</v>
      </c>
      <c r="Y23" s="50">
        <f>IF(Y4&lt;='Project Assumptions'!$I$15+1,Depreciation!Y28*-1,0)</f>
        <v>0</v>
      </c>
      <c r="Z23" s="50">
        <f>IF(Z4&lt;='Project Assumptions'!$I$15+1,Depreciation!Z28*-1,0)</f>
        <v>0</v>
      </c>
      <c r="AA23" s="50">
        <f>IF(AA4&lt;='Project Assumptions'!$I$15+1,Depreciation!AA28*-1,0)</f>
        <v>0</v>
      </c>
      <c r="AB23" s="427">
        <f>IF(AB4&lt;='Project Assumptions'!$I$15+1,Depreciation!AB28*-1,0)</f>
        <v>0</v>
      </c>
      <c r="AC23" s="33"/>
      <c r="AD23" s="3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c r="II23" s="23"/>
      <c r="IJ23" s="23"/>
      <c r="IK23" s="23"/>
      <c r="IL23" s="23"/>
      <c r="IM23" s="23"/>
      <c r="IN23" s="23"/>
      <c r="IO23" s="23"/>
      <c r="IP23" s="23"/>
      <c r="IQ23" s="23"/>
      <c r="IR23" s="23"/>
      <c r="IS23" s="23"/>
      <c r="IT23" s="23"/>
      <c r="IU23" s="23"/>
      <c r="IV23" s="23"/>
    </row>
    <row r="24" spans="1:256" s="12" customFormat="1" ht="12" customHeight="1">
      <c r="A24" s="424" t="s">
        <v>471</v>
      </c>
      <c r="B24" s="33"/>
      <c r="C24" s="33"/>
      <c r="D24" s="295">
        <f>SUM(D21:D23)</f>
        <v>-12161.304155442103</v>
      </c>
      <c r="E24" s="295">
        <f t="shared" ref="E24:AB24" si="5">SUM(E21:E23)</f>
        <v>-11213.112017368565</v>
      </c>
      <c r="F24" s="295">
        <f t="shared" si="5"/>
        <v>-8404.1209855751622</v>
      </c>
      <c r="G24" s="295">
        <f t="shared" si="5"/>
        <v>4467.4795964389232</v>
      </c>
      <c r="H24" s="295">
        <f t="shared" si="5"/>
        <v>15092.813126647736</v>
      </c>
      <c r="I24" s="295">
        <f t="shared" si="5"/>
        <v>18990.851672986362</v>
      </c>
      <c r="J24" s="295">
        <f t="shared" si="5"/>
        <v>20265.551893124717</v>
      </c>
      <c r="K24" s="295">
        <f t="shared" si="5"/>
        <v>21426.569669891011</v>
      </c>
      <c r="L24" s="295">
        <f t="shared" si="5"/>
        <v>22628.418483049118</v>
      </c>
      <c r="M24" s="295">
        <f t="shared" si="5"/>
        <v>24223.9999074894</v>
      </c>
      <c r="N24" s="295">
        <f t="shared" si="5"/>
        <v>26102.536527895212</v>
      </c>
      <c r="O24" s="295">
        <f t="shared" si="5"/>
        <v>26888.454805999063</v>
      </c>
      <c r="P24" s="295">
        <f t="shared" si="5"/>
        <v>27791.531434374545</v>
      </c>
      <c r="Q24" s="295">
        <f t="shared" si="5"/>
        <v>28671.723924710423</v>
      </c>
      <c r="R24" s="295">
        <f t="shared" si="5"/>
        <v>29543.126570100594</v>
      </c>
      <c r="S24" s="295">
        <f t="shared" si="5"/>
        <v>37779.623935457246</v>
      </c>
      <c r="T24" s="295">
        <f t="shared" si="5"/>
        <v>45996.740504105306</v>
      </c>
      <c r="U24" s="295">
        <f t="shared" si="5"/>
        <v>47231.474621809633</v>
      </c>
      <c r="V24" s="295">
        <f t="shared" si="5"/>
        <v>48562.814009454465</v>
      </c>
      <c r="W24" s="295">
        <f t="shared" si="5"/>
        <v>48907.813057486514</v>
      </c>
      <c r="X24" s="295">
        <f t="shared" si="5"/>
        <v>19522.89814647345</v>
      </c>
      <c r="Y24" s="295">
        <f t="shared" si="5"/>
        <v>0</v>
      </c>
      <c r="Z24" s="295">
        <f t="shared" si="5"/>
        <v>0</v>
      </c>
      <c r="AA24" s="295">
        <f t="shared" si="5"/>
        <v>0</v>
      </c>
      <c r="AB24" s="428">
        <f t="shared" si="5"/>
        <v>0</v>
      </c>
      <c r="AC24" s="33"/>
      <c r="AD24" s="3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row>
    <row r="25" spans="1:256" ht="12" customHeight="1">
      <c r="A25" s="188"/>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429"/>
      <c r="AC25" s="49"/>
      <c r="AD25" s="49"/>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c r="II25" s="23"/>
      <c r="IJ25" s="23"/>
      <c r="IK25" s="23"/>
      <c r="IL25" s="23"/>
      <c r="IM25" s="23"/>
      <c r="IN25" s="23"/>
      <c r="IO25" s="23"/>
      <c r="IP25" s="23"/>
      <c r="IQ25" s="23"/>
      <c r="IR25" s="23"/>
      <c r="IS25" s="23"/>
    </row>
    <row r="26" spans="1:256" ht="12" customHeight="1">
      <c r="A26" s="188" t="s">
        <v>92</v>
      </c>
      <c r="B26" s="33"/>
      <c r="C26" s="51"/>
      <c r="D26" s="46">
        <f>D24</f>
        <v>-12161.304155442103</v>
      </c>
      <c r="E26" s="46">
        <f t="shared" ref="E26:AB26" si="6">E24</f>
        <v>-11213.112017368565</v>
      </c>
      <c r="F26" s="46">
        <f t="shared" si="6"/>
        <v>-8404.1209855751622</v>
      </c>
      <c r="G26" s="46">
        <f t="shared" si="6"/>
        <v>4467.4795964389232</v>
      </c>
      <c r="H26" s="46">
        <f t="shared" si="6"/>
        <v>15092.813126647736</v>
      </c>
      <c r="I26" s="46">
        <f t="shared" si="6"/>
        <v>18990.851672986362</v>
      </c>
      <c r="J26" s="46">
        <f t="shared" si="6"/>
        <v>20265.551893124717</v>
      </c>
      <c r="K26" s="46">
        <f t="shared" si="6"/>
        <v>21426.569669891011</v>
      </c>
      <c r="L26" s="46">
        <f t="shared" si="6"/>
        <v>22628.418483049118</v>
      </c>
      <c r="M26" s="46">
        <f t="shared" si="6"/>
        <v>24223.9999074894</v>
      </c>
      <c r="N26" s="46">
        <f t="shared" si="6"/>
        <v>26102.536527895212</v>
      </c>
      <c r="O26" s="46">
        <f t="shared" si="6"/>
        <v>26888.454805999063</v>
      </c>
      <c r="P26" s="46">
        <f t="shared" si="6"/>
        <v>27791.531434374545</v>
      </c>
      <c r="Q26" s="46">
        <f t="shared" si="6"/>
        <v>28671.723924710423</v>
      </c>
      <c r="R26" s="46">
        <f t="shared" si="6"/>
        <v>29543.126570100594</v>
      </c>
      <c r="S26" s="46">
        <f t="shared" si="6"/>
        <v>37779.623935457246</v>
      </c>
      <c r="T26" s="46">
        <f t="shared" si="6"/>
        <v>45996.740504105306</v>
      </c>
      <c r="U26" s="46">
        <f t="shared" si="6"/>
        <v>47231.474621809633</v>
      </c>
      <c r="V26" s="46">
        <f t="shared" si="6"/>
        <v>48562.814009454465</v>
      </c>
      <c r="W26" s="46">
        <f t="shared" si="6"/>
        <v>48907.813057486514</v>
      </c>
      <c r="X26" s="46">
        <f t="shared" si="6"/>
        <v>19522.89814647345</v>
      </c>
      <c r="Y26" s="46">
        <f t="shared" si="6"/>
        <v>0</v>
      </c>
      <c r="Z26" s="46">
        <f t="shared" si="6"/>
        <v>0</v>
      </c>
      <c r="AA26" s="46">
        <f t="shared" si="6"/>
        <v>0</v>
      </c>
      <c r="AB26" s="426">
        <f t="shared" si="6"/>
        <v>0</v>
      </c>
      <c r="AC26" s="51"/>
      <c r="AD26" s="51"/>
    </row>
    <row r="27" spans="1:256" ht="12" customHeight="1">
      <c r="A27" s="188" t="s">
        <v>179</v>
      </c>
      <c r="B27" s="33"/>
      <c r="C27" s="33"/>
      <c r="D27" s="52">
        <f>IF(D$4&gt;'Project Assumptions'!$I$15+1,0,'Project Assumptions'!$N$64)</f>
        <v>7.1800000000000003E-2</v>
      </c>
      <c r="E27" s="52">
        <f>IF(E$4&gt;'Project Assumptions'!$I$15+1,0,'Project Assumptions'!$N$64)</f>
        <v>7.1800000000000003E-2</v>
      </c>
      <c r="F27" s="52">
        <f>IF(F$4&gt;'Project Assumptions'!$I$15+1,0,'Project Assumptions'!$N$64)</f>
        <v>7.1800000000000003E-2</v>
      </c>
      <c r="G27" s="52">
        <f>IF(G$4&gt;'Project Assumptions'!$I$15+1,0,'Project Assumptions'!$N$64)</f>
        <v>7.1800000000000003E-2</v>
      </c>
      <c r="H27" s="52">
        <f>IF(H$4&gt;'Project Assumptions'!$I$15+1,0,'Project Assumptions'!$N$64)</f>
        <v>7.1800000000000003E-2</v>
      </c>
      <c r="I27" s="52">
        <f>IF(I$4&gt;'Project Assumptions'!$I$15+1,0,'Project Assumptions'!$N$64)</f>
        <v>7.1800000000000003E-2</v>
      </c>
      <c r="J27" s="52">
        <f>IF(J$4&gt;'Project Assumptions'!$I$15+1,0,'Project Assumptions'!$N$64)</f>
        <v>7.1800000000000003E-2</v>
      </c>
      <c r="K27" s="52">
        <f>IF(K$4&gt;'Project Assumptions'!$I$15+1,0,'Project Assumptions'!$N$64)</f>
        <v>7.1800000000000003E-2</v>
      </c>
      <c r="L27" s="52">
        <f>IF(L$4&gt;'Project Assumptions'!$I$15+1,0,'Project Assumptions'!$N$64)</f>
        <v>7.1800000000000003E-2</v>
      </c>
      <c r="M27" s="52">
        <f>IF(M$4&gt;'Project Assumptions'!$I$15+1,0,'Project Assumptions'!$N$64)</f>
        <v>7.1800000000000003E-2</v>
      </c>
      <c r="N27" s="52">
        <f>IF(N$4&gt;'Project Assumptions'!$I$15+1,0,'Project Assumptions'!$N$64)</f>
        <v>7.1800000000000003E-2</v>
      </c>
      <c r="O27" s="52">
        <f>IF(O$4&gt;'Project Assumptions'!$I$15+1,0,'Project Assumptions'!$N$64)</f>
        <v>7.1800000000000003E-2</v>
      </c>
      <c r="P27" s="52">
        <f>IF(P$4&gt;'Project Assumptions'!$I$15+1,0,'Project Assumptions'!$N$64)</f>
        <v>7.1800000000000003E-2</v>
      </c>
      <c r="Q27" s="52">
        <f>IF(Q$4&gt;'Project Assumptions'!$I$15+1,0,'Project Assumptions'!$N$64)</f>
        <v>7.1800000000000003E-2</v>
      </c>
      <c r="R27" s="52">
        <f>IF(R$4&gt;'Project Assumptions'!$I$15+1,0,'Project Assumptions'!$N$64)</f>
        <v>7.1800000000000003E-2</v>
      </c>
      <c r="S27" s="52">
        <f>IF(S$4&gt;'Project Assumptions'!$I$15+1,0,'Project Assumptions'!$N$64)</f>
        <v>7.1800000000000003E-2</v>
      </c>
      <c r="T27" s="52">
        <f>IF(T$4&gt;'Project Assumptions'!$I$15+1,0,'Project Assumptions'!$N$64)</f>
        <v>7.1800000000000003E-2</v>
      </c>
      <c r="U27" s="52">
        <f>IF(U$4&gt;'Project Assumptions'!$I$15+1,0,'Project Assumptions'!$N$64)</f>
        <v>7.1800000000000003E-2</v>
      </c>
      <c r="V27" s="52">
        <f>IF(V$4&gt;'Project Assumptions'!$I$15+1,0,'Project Assumptions'!$N$64)</f>
        <v>7.1800000000000003E-2</v>
      </c>
      <c r="W27" s="52">
        <f>IF(W$4&gt;'Project Assumptions'!$I$15+1,0,'Project Assumptions'!$N$64)</f>
        <v>7.1800000000000003E-2</v>
      </c>
      <c r="X27" s="52">
        <f>IF(X$4&gt;'Project Assumptions'!$I$15+1,0,'Project Assumptions'!$N$64)</f>
        <v>7.1800000000000003E-2</v>
      </c>
      <c r="Y27" s="52">
        <f>IF(Y$4&gt;'Project Assumptions'!$I$15+1,0,'Project Assumptions'!$N$64)</f>
        <v>0</v>
      </c>
      <c r="Z27" s="52">
        <f>IF(Z$4&gt;'Project Assumptions'!$I$15+1,0,'Project Assumptions'!$N$64)</f>
        <v>0</v>
      </c>
      <c r="AA27" s="52">
        <f>IF(AA$4&gt;'Project Assumptions'!$I$15+1,0,'Project Assumptions'!$N$64)</f>
        <v>0</v>
      </c>
      <c r="AB27" s="417">
        <f>IF(AB$4&gt;'Project Assumptions'!$I$15+1,0,'Project Assumptions'!$N$64)</f>
        <v>0</v>
      </c>
      <c r="AC27" s="33"/>
      <c r="AD27" s="49"/>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row>
    <row r="28" spans="1:256" s="17" customFormat="1" ht="12" customHeight="1">
      <c r="A28" s="188" t="s">
        <v>173</v>
      </c>
      <c r="B28" s="425"/>
      <c r="C28" s="43"/>
      <c r="D28" s="43">
        <f>D26*D27</f>
        <v>-873.18163836074302</v>
      </c>
      <c r="E28" s="43">
        <f t="shared" ref="E28:AB28" si="7">E26*E27</f>
        <v>-805.10144284706303</v>
      </c>
      <c r="F28" s="43">
        <f t="shared" si="7"/>
        <v>-603.41588676429672</v>
      </c>
      <c r="G28" s="43">
        <f t="shared" si="7"/>
        <v>320.76503502431467</v>
      </c>
      <c r="H28" s="43">
        <f t="shared" si="7"/>
        <v>1083.6639824933075</v>
      </c>
      <c r="I28" s="43">
        <f t="shared" si="7"/>
        <v>1363.5431501204209</v>
      </c>
      <c r="J28" s="43">
        <f t="shared" si="7"/>
        <v>1455.0666259263548</v>
      </c>
      <c r="K28" s="43">
        <f t="shared" si="7"/>
        <v>1538.4277022981746</v>
      </c>
      <c r="L28" s="43">
        <f t="shared" si="7"/>
        <v>1624.7204470829267</v>
      </c>
      <c r="M28" s="43">
        <f t="shared" si="7"/>
        <v>1739.283193357739</v>
      </c>
      <c r="N28" s="43">
        <f t="shared" si="7"/>
        <v>1874.1621227028763</v>
      </c>
      <c r="O28" s="43">
        <f t="shared" si="7"/>
        <v>1930.5910550707329</v>
      </c>
      <c r="P28" s="43">
        <f t="shared" si="7"/>
        <v>1995.4319569880925</v>
      </c>
      <c r="Q28" s="43">
        <f t="shared" si="7"/>
        <v>2058.6297777942086</v>
      </c>
      <c r="R28" s="43">
        <f t="shared" si="7"/>
        <v>2121.1964877332225</v>
      </c>
      <c r="S28" s="43">
        <f t="shared" si="7"/>
        <v>2712.5769985658303</v>
      </c>
      <c r="T28" s="43">
        <f t="shared" si="7"/>
        <v>3302.5659681947609</v>
      </c>
      <c r="U28" s="43">
        <f t="shared" si="7"/>
        <v>3391.2198778459319</v>
      </c>
      <c r="V28" s="43">
        <f t="shared" si="7"/>
        <v>3486.8100458788308</v>
      </c>
      <c r="W28" s="43">
        <f t="shared" si="7"/>
        <v>3511.580977527532</v>
      </c>
      <c r="X28" s="43">
        <f t="shared" si="7"/>
        <v>1401.7440869167938</v>
      </c>
      <c r="Y28" s="43">
        <f t="shared" si="7"/>
        <v>0</v>
      </c>
      <c r="Z28" s="43">
        <f t="shared" si="7"/>
        <v>0</v>
      </c>
      <c r="AA28" s="43">
        <f t="shared" si="7"/>
        <v>0</v>
      </c>
      <c r="AB28" s="416">
        <f t="shared" si="7"/>
        <v>0</v>
      </c>
      <c r="AC28" s="43"/>
      <c r="AD28" s="43"/>
    </row>
    <row r="29" spans="1:256" s="17" customFormat="1" ht="12" customHeight="1">
      <c r="A29" s="188"/>
      <c r="B29" s="425"/>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16"/>
      <c r="AC29" s="43"/>
      <c r="AD29" s="43"/>
    </row>
    <row r="30" spans="1:256" s="17" customFormat="1" ht="12" customHeight="1">
      <c r="A30" s="188" t="s">
        <v>455</v>
      </c>
      <c r="B30" s="425"/>
      <c r="C30" s="43"/>
      <c r="D30" s="262">
        <f t="shared" ref="D30:AB30" si="8">C34</f>
        <v>0</v>
      </c>
      <c r="E30" s="262">
        <f t="shared" si="8"/>
        <v>873.18163836074302</v>
      </c>
      <c r="F30" s="262">
        <f t="shared" si="8"/>
        <v>1678.2830812078059</v>
      </c>
      <c r="G30" s="262">
        <f t="shared" si="8"/>
        <v>2281.6989679721028</v>
      </c>
      <c r="H30" s="262">
        <f t="shared" si="8"/>
        <v>1960.933932947788</v>
      </c>
      <c r="I30" s="262">
        <f t="shared" si="8"/>
        <v>877.26995045448052</v>
      </c>
      <c r="J30" s="262">
        <f t="shared" si="8"/>
        <v>0</v>
      </c>
      <c r="K30" s="262">
        <f t="shared" si="8"/>
        <v>0</v>
      </c>
      <c r="L30" s="262">
        <f t="shared" si="8"/>
        <v>0</v>
      </c>
      <c r="M30" s="262">
        <f t="shared" si="8"/>
        <v>0</v>
      </c>
      <c r="N30" s="262">
        <f t="shared" si="8"/>
        <v>0</v>
      </c>
      <c r="O30" s="262">
        <f t="shared" si="8"/>
        <v>0</v>
      </c>
      <c r="P30" s="262">
        <f t="shared" si="8"/>
        <v>0</v>
      </c>
      <c r="Q30" s="262">
        <f t="shared" si="8"/>
        <v>0</v>
      </c>
      <c r="R30" s="262">
        <f t="shared" si="8"/>
        <v>0</v>
      </c>
      <c r="S30" s="262">
        <f t="shared" si="8"/>
        <v>0</v>
      </c>
      <c r="T30" s="262">
        <f t="shared" si="8"/>
        <v>0</v>
      </c>
      <c r="U30" s="262">
        <f t="shared" si="8"/>
        <v>0</v>
      </c>
      <c r="V30" s="262">
        <f t="shared" si="8"/>
        <v>0</v>
      </c>
      <c r="W30" s="262">
        <f t="shared" si="8"/>
        <v>0</v>
      </c>
      <c r="X30" s="262">
        <f t="shared" si="8"/>
        <v>0</v>
      </c>
      <c r="Y30" s="262">
        <f t="shared" si="8"/>
        <v>0</v>
      </c>
      <c r="Z30" s="262">
        <f t="shared" si="8"/>
        <v>0</v>
      </c>
      <c r="AA30" s="262">
        <f t="shared" si="8"/>
        <v>0</v>
      </c>
      <c r="AB30" s="430">
        <f t="shared" si="8"/>
        <v>0</v>
      </c>
      <c r="AC30" s="43"/>
      <c r="AD30" s="43"/>
    </row>
    <row r="31" spans="1:256" s="17" customFormat="1" ht="12" customHeight="1">
      <c r="A31" s="188" t="s">
        <v>456</v>
      </c>
      <c r="B31" s="425"/>
      <c r="C31" s="43"/>
      <c r="D31" s="262">
        <f t="shared" ref="D31:AB31" si="9">IF(D4&gt;ProjectLife+1,0,IF(D28&lt;0,-D28,0))</f>
        <v>873.18163836074302</v>
      </c>
      <c r="E31" s="262">
        <f t="shared" si="9"/>
        <v>805.10144284706303</v>
      </c>
      <c r="F31" s="262">
        <f t="shared" si="9"/>
        <v>603.41588676429672</v>
      </c>
      <c r="G31" s="262">
        <f t="shared" si="9"/>
        <v>0</v>
      </c>
      <c r="H31" s="262">
        <f t="shared" si="9"/>
        <v>0</v>
      </c>
      <c r="I31" s="262">
        <f t="shared" si="9"/>
        <v>0</v>
      </c>
      <c r="J31" s="262">
        <f t="shared" si="9"/>
        <v>0</v>
      </c>
      <c r="K31" s="262">
        <f t="shared" si="9"/>
        <v>0</v>
      </c>
      <c r="L31" s="262">
        <f t="shared" si="9"/>
        <v>0</v>
      </c>
      <c r="M31" s="262">
        <f t="shared" si="9"/>
        <v>0</v>
      </c>
      <c r="N31" s="262">
        <f t="shared" si="9"/>
        <v>0</v>
      </c>
      <c r="O31" s="262">
        <f t="shared" si="9"/>
        <v>0</v>
      </c>
      <c r="P31" s="262">
        <f t="shared" si="9"/>
        <v>0</v>
      </c>
      <c r="Q31" s="262">
        <f t="shared" si="9"/>
        <v>0</v>
      </c>
      <c r="R31" s="262">
        <f t="shared" si="9"/>
        <v>0</v>
      </c>
      <c r="S31" s="262">
        <f t="shared" si="9"/>
        <v>0</v>
      </c>
      <c r="T31" s="262">
        <f t="shared" si="9"/>
        <v>0</v>
      </c>
      <c r="U31" s="262">
        <f t="shared" si="9"/>
        <v>0</v>
      </c>
      <c r="V31" s="262">
        <f t="shared" si="9"/>
        <v>0</v>
      </c>
      <c r="W31" s="262">
        <f t="shared" si="9"/>
        <v>0</v>
      </c>
      <c r="X31" s="262">
        <f t="shared" si="9"/>
        <v>0</v>
      </c>
      <c r="Y31" s="262">
        <f t="shared" si="9"/>
        <v>0</v>
      </c>
      <c r="Z31" s="262">
        <f t="shared" si="9"/>
        <v>0</v>
      </c>
      <c r="AA31" s="262">
        <f t="shared" si="9"/>
        <v>0</v>
      </c>
      <c r="AB31" s="430">
        <f t="shared" si="9"/>
        <v>0</v>
      </c>
      <c r="AC31" s="43"/>
      <c r="AD31" s="43"/>
    </row>
    <row r="32" spans="1:256" s="17" customFormat="1" ht="12" customHeight="1">
      <c r="A32" s="420" t="s">
        <v>472</v>
      </c>
      <c r="B32" s="431"/>
      <c r="C32" s="432"/>
      <c r="D32" s="545">
        <v>0</v>
      </c>
      <c r="E32" s="545">
        <v>0</v>
      </c>
      <c r="F32" s="545">
        <v>0</v>
      </c>
      <c r="G32" s="545">
        <v>0</v>
      </c>
      <c r="H32" s="545">
        <v>0</v>
      </c>
      <c r="I32" s="545">
        <v>0</v>
      </c>
      <c r="J32" s="545">
        <v>0</v>
      </c>
      <c r="K32" s="545">
        <v>0</v>
      </c>
      <c r="L32" s="545">
        <v>0</v>
      </c>
      <c r="M32" s="545">
        <v>0</v>
      </c>
      <c r="N32" s="545">
        <v>0</v>
      </c>
      <c r="O32" s="545">
        <v>0</v>
      </c>
      <c r="P32" s="545">
        <v>0</v>
      </c>
      <c r="Q32" s="545">
        <v>0</v>
      </c>
      <c r="R32" s="545">
        <v>0</v>
      </c>
      <c r="S32" s="545">
        <v>0</v>
      </c>
      <c r="T32" s="545">
        <v>0</v>
      </c>
      <c r="U32" s="545">
        <v>0</v>
      </c>
      <c r="V32" s="545">
        <v>0</v>
      </c>
      <c r="W32" s="545">
        <v>0</v>
      </c>
      <c r="X32" s="47">
        <f>IF(R31&gt;(SUM(S33:W33)+SUM(R32:W32))*-1,R31-(SUM(R33:W33)+SUM(R32:W32))*-1,0)</f>
        <v>0</v>
      </c>
      <c r="Y32" s="47">
        <f>IF(S31&gt;(SUM(T33:X33)+SUM(S32:X32))*-1,S31-(SUM(S33:X33)+SUM(S32:X32))*-1,0)</f>
        <v>0</v>
      </c>
      <c r="Z32" s="47">
        <f>IF(T31&gt;(SUM(U33:Y33)+SUM(T32:Y32))*-1,T31-(SUM(T33:Y33)+SUM(T32:Y32))*-1,0)</f>
        <v>0</v>
      </c>
      <c r="AA32" s="47">
        <f>IF(U31&gt;(SUM(V33:Z33)+SUM(U32:Z32))*-1,U31-(SUM(U33:Z33)+SUM(U32:Z32))*-1,0)</f>
        <v>0</v>
      </c>
      <c r="AB32" s="433">
        <f>IF(V31&gt;(SUM(W33:AA33)+SUM(V32:AA32))*-1,V31-(SUM(V33:AA33)+SUM(V32:AA32))*-1,0)</f>
        <v>0</v>
      </c>
      <c r="AC32" s="43"/>
      <c r="AD32" s="43"/>
    </row>
    <row r="33" spans="1:30" s="17" customFormat="1" ht="12" customHeight="1">
      <c r="A33" s="420" t="s">
        <v>94</v>
      </c>
      <c r="B33" s="431"/>
      <c r="C33" s="33"/>
      <c r="D33" s="434">
        <f>IF('Project Assumptions'!$C$66="No",0,IF(D4&lt;='Project Assumptions'!$C$66,IF(D28&lt;0,0,IF(D30&gt;D28,-D28,-D30)),0))</f>
        <v>0</v>
      </c>
      <c r="E33" s="434">
        <f>IF('Project Assumptions'!$C$66="No",0,IF(E4&lt;='Project Assumptions'!$C$66,IF(E28&lt;0,0,IF(E30&gt;E28,-E28,-E30)),0))</f>
        <v>0</v>
      </c>
      <c r="F33" s="434">
        <f>IF('Project Assumptions'!$C$66="No",0,IF(F4&lt;='Project Assumptions'!$C$66,IF(F28&lt;0,0,IF(F30&gt;F28,-F28,-F30)),0))</f>
        <v>0</v>
      </c>
      <c r="G33" s="434">
        <f>IF('Project Assumptions'!$C$66="No",0,IF(G4&lt;='Project Assumptions'!$C$66,IF(G28&lt;0,0,IF(G30&gt;G28,-G28,-G30)),0))</f>
        <v>-320.76503502431467</v>
      </c>
      <c r="H33" s="434">
        <f>IF('Project Assumptions'!$C$66="No",0,IF(H4&lt;='Project Assumptions'!$C$66,IF(H28&lt;0,0,IF(H30&gt;H28,-H28,-H30)),0))</f>
        <v>-1083.6639824933075</v>
      </c>
      <c r="I33" s="434">
        <f>IF('Project Assumptions'!$C$66="No",0,IF(I4&lt;='Project Assumptions'!$C$66,IF(I28&lt;0,0,IF(I30&gt;I28,-I28,-I30)),0))</f>
        <v>-877.26995045448052</v>
      </c>
      <c r="J33" s="434">
        <f>IF('Project Assumptions'!$C$66="No",0,IF(J4&lt;='Project Assumptions'!$C$66,IF(J28&lt;0,0,IF(J30&gt;J28,-J28,-J30)),0))</f>
        <v>0</v>
      </c>
      <c r="K33" s="434">
        <f>IF('Project Assumptions'!$C$66="No",0,IF(K4&lt;='Project Assumptions'!$C$66,IF(K28&lt;0,0,IF(K30&gt;K28,-K28,-K30)),0))</f>
        <v>0</v>
      </c>
      <c r="L33" s="434">
        <f>IF('Project Assumptions'!$C$66="No",0,IF(L4&lt;='Project Assumptions'!$C$66,IF(L28&lt;0,0,IF(L30&gt;L28,-L28,-L30)),0))</f>
        <v>0</v>
      </c>
      <c r="M33" s="434">
        <f>IF('Project Assumptions'!$C$66="No",0,IF(M4&lt;='Project Assumptions'!$C$66,IF(M28&lt;0,0,IF(M30&gt;M28,-M28,-M30)),0))</f>
        <v>0</v>
      </c>
      <c r="N33" s="434">
        <f>IF('Project Assumptions'!$C$66="No",0,IF(N4&lt;='Project Assumptions'!$C$66,IF(N28&lt;0,0,IF(N30&gt;N28,-N28,-N30)),0))</f>
        <v>0</v>
      </c>
      <c r="O33" s="434">
        <f>IF('Project Assumptions'!$C$66="No",0,IF(O4&lt;='Project Assumptions'!$C$66,IF(O28&lt;0,0,IF(O30&gt;O28,-O28,-O30)),0))</f>
        <v>0</v>
      </c>
      <c r="P33" s="434">
        <f>IF('Project Assumptions'!$C$66="No",0,IF(P4&lt;='Project Assumptions'!$C$66,IF(P28&lt;0,0,IF(P30&gt;P28,-P28,-P30)),0))</f>
        <v>0</v>
      </c>
      <c r="Q33" s="434">
        <f>IF('Project Assumptions'!$C$66="No",0,IF(Q4&lt;='Project Assumptions'!$C$66,IF(Q28&lt;0,0,IF(Q30&gt;Q28,-Q28,-Q30)),0))</f>
        <v>0</v>
      </c>
      <c r="R33" s="434">
        <f>IF('Project Assumptions'!$C$66="No",0,IF(R4&lt;='Project Assumptions'!$C$66,IF(R28&lt;0,0,IF(R30&gt;R28,-R28,-R30)),0))</f>
        <v>0</v>
      </c>
      <c r="S33" s="434">
        <f>IF('Project Assumptions'!$C$66="No",0,IF(S4&lt;='Project Assumptions'!$C$66,IF(S28&lt;0,0,IF(S30&gt;S28,-S28,-S30)),0))</f>
        <v>0</v>
      </c>
      <c r="T33" s="434">
        <f>IF('Project Assumptions'!$C$66="No",0,IF(T4&lt;='Project Assumptions'!$C$66,IF(T28&lt;0,0,IF(T30&gt;T28,-T28,-T30)),0))</f>
        <v>0</v>
      </c>
      <c r="U33" s="434">
        <f>IF('Project Assumptions'!$C$66="No",0,IF(U4&lt;='Project Assumptions'!$C$66,IF(U28&lt;0,0,IF(U30&gt;U28,-U28,-U30)),0))</f>
        <v>0</v>
      </c>
      <c r="V33" s="434">
        <f>IF('Project Assumptions'!$C$66="No",0,IF(V4&lt;='Project Assumptions'!$C$66,IF(V28&lt;0,0,IF(V30&gt;V28,-V28,-V30)),0))</f>
        <v>0</v>
      </c>
      <c r="W33" s="434">
        <f>IF('Project Assumptions'!$C$66="No",0,IF(W4&lt;='Project Assumptions'!$C$66,IF(W28&lt;0,0,IF(W30&gt;W28,-W28,-W30)),0))</f>
        <v>0</v>
      </c>
      <c r="X33" s="434">
        <f>IF('Project Assumptions'!$C$66="No",0,IF(X4&lt;='Project Assumptions'!$C$66,IF(X28&lt;0,0,IF(X30&gt;X28,-X28,-X30)),0))</f>
        <v>0</v>
      </c>
      <c r="Y33" s="434">
        <f>IF('Project Assumptions'!$C$66="No",0,IF(Y4&lt;='Project Assumptions'!$C$66,IF(Y28&lt;0,0,IF(Y30&gt;Y28,-Y28,-Y30)),0))</f>
        <v>0</v>
      </c>
      <c r="Z33" s="434">
        <f>IF('Project Assumptions'!$C$66="No",0,IF(Z4&lt;='Project Assumptions'!$C$66,IF(Z28&lt;0,0,IF(Z30&gt;Z28,-Z28,-Z30)),0))</f>
        <v>0</v>
      </c>
      <c r="AA33" s="434">
        <f>IF('Project Assumptions'!$C$66="No",0,IF(AA4&lt;='Project Assumptions'!$C$66,IF(AA28&lt;0,0,IF(AA30&gt;AA28,-AA28,-AA30)),0))</f>
        <v>0</v>
      </c>
      <c r="AB33" s="435">
        <f>IF('Project Assumptions'!$C$66="No",0,IF(AB4&lt;='Project Assumptions'!$C$66,IF(AB28&lt;0,0,IF(AB30&gt;AB28,-AB28,-AB30)),0))</f>
        <v>0</v>
      </c>
      <c r="AC33" s="43"/>
      <c r="AD33" s="43"/>
    </row>
    <row r="34" spans="1:30" s="17" customFormat="1" ht="12" customHeight="1">
      <c r="A34" s="420" t="s">
        <v>457</v>
      </c>
      <c r="B34" s="431"/>
      <c r="C34" s="33"/>
      <c r="D34" s="434">
        <f t="shared" ref="D34:AB34" si="10">SUM(D30:D33)</f>
        <v>873.18163836074302</v>
      </c>
      <c r="E34" s="434">
        <f t="shared" si="10"/>
        <v>1678.2830812078059</v>
      </c>
      <c r="F34" s="434">
        <f t="shared" si="10"/>
        <v>2281.6989679721028</v>
      </c>
      <c r="G34" s="434">
        <f t="shared" si="10"/>
        <v>1960.933932947788</v>
      </c>
      <c r="H34" s="434">
        <f t="shared" si="10"/>
        <v>877.26995045448052</v>
      </c>
      <c r="I34" s="434">
        <f t="shared" si="10"/>
        <v>0</v>
      </c>
      <c r="J34" s="434">
        <f t="shared" si="10"/>
        <v>0</v>
      </c>
      <c r="K34" s="434">
        <f t="shared" si="10"/>
        <v>0</v>
      </c>
      <c r="L34" s="434">
        <f t="shared" si="10"/>
        <v>0</v>
      </c>
      <c r="M34" s="434">
        <f t="shared" si="10"/>
        <v>0</v>
      </c>
      <c r="N34" s="434">
        <f t="shared" si="10"/>
        <v>0</v>
      </c>
      <c r="O34" s="434">
        <f t="shared" si="10"/>
        <v>0</v>
      </c>
      <c r="P34" s="434">
        <f t="shared" si="10"/>
        <v>0</v>
      </c>
      <c r="Q34" s="434">
        <f t="shared" si="10"/>
        <v>0</v>
      </c>
      <c r="R34" s="434">
        <f t="shared" si="10"/>
        <v>0</v>
      </c>
      <c r="S34" s="434">
        <f t="shared" si="10"/>
        <v>0</v>
      </c>
      <c r="T34" s="434">
        <f t="shared" si="10"/>
        <v>0</v>
      </c>
      <c r="U34" s="434">
        <f t="shared" si="10"/>
        <v>0</v>
      </c>
      <c r="V34" s="434">
        <f t="shared" si="10"/>
        <v>0</v>
      </c>
      <c r="W34" s="434">
        <f t="shared" si="10"/>
        <v>0</v>
      </c>
      <c r="X34" s="434">
        <f t="shared" si="10"/>
        <v>0</v>
      </c>
      <c r="Y34" s="434">
        <f t="shared" si="10"/>
        <v>0</v>
      </c>
      <c r="Z34" s="434">
        <f t="shared" si="10"/>
        <v>0</v>
      </c>
      <c r="AA34" s="434">
        <f t="shared" si="10"/>
        <v>0</v>
      </c>
      <c r="AB34" s="435">
        <f t="shared" si="10"/>
        <v>0</v>
      </c>
      <c r="AC34" s="43"/>
      <c r="AD34" s="43"/>
    </row>
    <row r="35" spans="1:30" s="17" customFormat="1" ht="12" customHeight="1">
      <c r="A35" s="452"/>
      <c r="B35" s="540"/>
      <c r="C35" s="409"/>
      <c r="D35" s="548"/>
      <c r="E35" s="548"/>
      <c r="F35" s="548"/>
      <c r="G35" s="548"/>
      <c r="H35" s="548"/>
      <c r="I35" s="548"/>
      <c r="J35" s="548"/>
      <c r="K35" s="548"/>
      <c r="L35" s="548"/>
      <c r="M35" s="548"/>
      <c r="N35" s="548"/>
      <c r="O35" s="548"/>
      <c r="P35" s="548"/>
      <c r="Q35" s="548"/>
      <c r="R35" s="548"/>
      <c r="S35" s="548"/>
      <c r="T35" s="548"/>
      <c r="U35" s="548"/>
      <c r="V35" s="548"/>
      <c r="W35" s="548"/>
      <c r="X35" s="548"/>
      <c r="Y35" s="548"/>
      <c r="Z35" s="548"/>
      <c r="AA35" s="548"/>
      <c r="AB35" s="549"/>
      <c r="AC35" s="43"/>
      <c r="AD35" s="43"/>
    </row>
    <row r="36" spans="1:30" s="17" customFormat="1" ht="12" customHeight="1">
      <c r="A36" s="517" t="s">
        <v>458</v>
      </c>
      <c r="B36" s="540"/>
      <c r="C36" s="409"/>
      <c r="D36" s="541">
        <f>IF(AND('Project Assumptions'!$C$66="No",D28&lt;0),0,IF(AND('Project Assumptions'!$C$66="No",D28&gt;0),D28,IF(D28&lt;0,0,(D28+D33))))</f>
        <v>0</v>
      </c>
      <c r="E36" s="541">
        <f>IF(AND('Project Assumptions'!$C$66="No",E28&lt;0),0,IF(AND('Project Assumptions'!$C$66="No",E28&gt;0),E28,IF(E28&lt;0,0,(E28+E33))))</f>
        <v>0</v>
      </c>
      <c r="F36" s="541">
        <f>IF(AND('Project Assumptions'!$C$66="No",F28&lt;0),0,IF(AND('Project Assumptions'!$C$66="No",F28&gt;0),F28,IF(F28&lt;0,0,(F28+F33))))</f>
        <v>0</v>
      </c>
      <c r="G36" s="541">
        <f>IF(AND('Project Assumptions'!$C$66="No",G28&lt;0),0,IF(AND('Project Assumptions'!$C$66="No",G28&gt;0),G28,IF(G28&lt;0,0,(G28+G33))))</f>
        <v>0</v>
      </c>
      <c r="H36" s="541">
        <f>IF(AND('Project Assumptions'!$C$66="No",H28&lt;0),0,IF(AND('Project Assumptions'!$C$66="No",H28&gt;0),H28,IF(H28&lt;0,0,(H28+H33))))</f>
        <v>0</v>
      </c>
      <c r="I36" s="541">
        <f>IF(AND('Project Assumptions'!$C$66="No",I28&lt;0),0,IF(AND('Project Assumptions'!$C$66="No",I28&gt;0),I28,IF(I28&lt;0,0,(I28+I33))))</f>
        <v>486.27319966594041</v>
      </c>
      <c r="J36" s="541">
        <f>IF(AND('Project Assumptions'!$C$66="No",J28&lt;0),0,IF(AND('Project Assumptions'!$C$66="No",J28&gt;0),J28,IF(J28&lt;0,0,(J28+J33))))</f>
        <v>1455.0666259263548</v>
      </c>
      <c r="K36" s="541">
        <f>IF(AND('Project Assumptions'!$C$66="No",K28&lt;0),0,IF(AND('Project Assumptions'!$C$66="No",K28&gt;0),K28,IF(K28&lt;0,0,(K28+K33))))</f>
        <v>1538.4277022981746</v>
      </c>
      <c r="L36" s="541">
        <f>IF(AND('Project Assumptions'!$C$66="No",L28&lt;0),0,IF(AND('Project Assumptions'!$C$66="No",L28&gt;0),L28,IF(L28&lt;0,0,(L28+L33))))</f>
        <v>1624.7204470829267</v>
      </c>
      <c r="M36" s="541">
        <f>IF(AND('Project Assumptions'!$C$66="No",M28&lt;0),0,IF(AND('Project Assumptions'!$C$66="No",M28&gt;0),M28,IF(M28&lt;0,0,(M28+M33))))</f>
        <v>1739.283193357739</v>
      </c>
      <c r="N36" s="541">
        <f>IF(AND('Project Assumptions'!$C$66="No",N28&lt;0),0,IF(AND('Project Assumptions'!$C$66="No",N28&gt;0),N28,IF(N28&lt;0,0,(N28+N33))))</f>
        <v>1874.1621227028763</v>
      </c>
      <c r="O36" s="541">
        <f>IF(AND('Project Assumptions'!$C$66="No",O28&lt;0),0,IF(AND('Project Assumptions'!$C$66="No",O28&gt;0),O28,IF(O28&lt;0,0,(O28+O33))))</f>
        <v>1930.5910550707329</v>
      </c>
      <c r="P36" s="541">
        <f>IF(AND('Project Assumptions'!$C$66="No",P28&lt;0),0,IF(AND('Project Assumptions'!$C$66="No",P28&gt;0),P28,IF(P28&lt;0,0,(P28+P33))))</f>
        <v>1995.4319569880925</v>
      </c>
      <c r="Q36" s="541">
        <f>IF(AND('Project Assumptions'!$C$66="No",Q28&lt;0),0,IF(AND('Project Assumptions'!$C$66="No",Q28&gt;0),Q28,IF(Q28&lt;0,0,(Q28+Q33))))</f>
        <v>2058.6297777942086</v>
      </c>
      <c r="R36" s="541">
        <f>IF(AND('Project Assumptions'!$C$66="No",R28&lt;0),0,IF(AND('Project Assumptions'!$C$66="No",R28&gt;0),R28,IF(R28&lt;0,0,(R28+R33))))</f>
        <v>2121.1964877332225</v>
      </c>
      <c r="S36" s="541">
        <f>IF(AND('Project Assumptions'!$C$66="No",S28&lt;0),0,IF(AND('Project Assumptions'!$C$66="No",S28&gt;0),S28,IF(S28&lt;0,0,(S28+S33))))</f>
        <v>2712.5769985658303</v>
      </c>
      <c r="T36" s="541">
        <f>IF(AND('Project Assumptions'!$C$66="No",T28&lt;0),0,IF(AND('Project Assumptions'!$C$66="No",T28&gt;0),T28,IF(T28&lt;0,0,(T28+T33))))</f>
        <v>3302.5659681947609</v>
      </c>
      <c r="U36" s="541">
        <f>IF(AND('Project Assumptions'!$C$66="No",U28&lt;0),0,IF(AND('Project Assumptions'!$C$66="No",U28&gt;0),U28,IF(U28&lt;0,0,(U28+U33))))</f>
        <v>3391.2198778459319</v>
      </c>
      <c r="V36" s="541">
        <f>IF(AND('Project Assumptions'!$C$66="No",V28&lt;0),0,IF(AND('Project Assumptions'!$C$66="No",V28&gt;0),V28,IF(V28&lt;0,0,(V28+V33))))</f>
        <v>3486.8100458788308</v>
      </c>
      <c r="W36" s="541">
        <f>IF(AND('Project Assumptions'!$C$66="No",W28&lt;0),0,IF(AND('Project Assumptions'!$C$66="No",W28&gt;0),W28,IF(W28&lt;0,0,(W28+W33))))</f>
        <v>3511.580977527532</v>
      </c>
      <c r="X36" s="541">
        <f>IF(AND('Project Assumptions'!$C$66="No",X28&lt;0),0,IF(AND('Project Assumptions'!$C$66="No",X28&gt;0),X28,IF(X28&lt;0,0,(X28+X33))))</f>
        <v>1401.7440869167938</v>
      </c>
      <c r="Y36" s="541">
        <f>IF(AND('Project Assumptions'!$C$66="No",Y28&lt;0),0,IF(AND('Project Assumptions'!$C$66="No",Y28&gt;0),Y28,IF(Y28&lt;0,0,(Y28+Y33))))</f>
        <v>0</v>
      </c>
      <c r="Z36" s="541">
        <f>IF(AND('Project Assumptions'!$C$66="No",Z28&lt;0),0,IF(AND('Project Assumptions'!$C$66="No",Z28&gt;0),Z28,IF(Z28&lt;0,0,(Z28+Z33))))</f>
        <v>0</v>
      </c>
      <c r="AA36" s="541">
        <f>IF(AND('Project Assumptions'!$C$66="No",AA28&lt;0),0,IF(AND('Project Assumptions'!$C$66="No",AA28&gt;0),AA28,IF(AA28&lt;0,0,(AA28+AA33))))</f>
        <v>0</v>
      </c>
      <c r="AB36" s="542">
        <f>IF(AND('Project Assumptions'!$C$66="No",AB28&lt;0),0,IF(AND('Project Assumptions'!$C$66="No",AB28&gt;0),AB28,IF(AB28&lt;0,0,(AB28+AB33))))</f>
        <v>0</v>
      </c>
      <c r="AC36" s="43"/>
      <c r="AD36" s="43"/>
    </row>
    <row r="37" spans="1:30">
      <c r="A37" s="33"/>
    </row>
    <row r="38" spans="1:30" ht="12" customHeight="1">
      <c r="A38" s="436" t="s">
        <v>180</v>
      </c>
      <c r="B38" s="437"/>
      <c r="C38" s="437"/>
      <c r="D38" s="437"/>
      <c r="E38" s="437"/>
      <c r="F38" s="437"/>
      <c r="G38" s="437"/>
      <c r="H38" s="437"/>
      <c r="I38" s="437"/>
      <c r="J38" s="437"/>
      <c r="K38" s="437"/>
      <c r="L38" s="437"/>
      <c r="M38" s="437"/>
      <c r="N38" s="437"/>
      <c r="O38" s="437"/>
      <c r="P38" s="437"/>
      <c r="Q38" s="437"/>
      <c r="R38" s="437"/>
      <c r="S38" s="437"/>
      <c r="T38" s="437"/>
      <c r="U38" s="437"/>
      <c r="V38" s="437"/>
      <c r="W38" s="437"/>
      <c r="X38" s="437"/>
      <c r="Y38" s="437"/>
      <c r="Z38" s="437"/>
      <c r="AA38" s="437"/>
      <c r="AB38" s="408"/>
      <c r="AC38" s="33"/>
      <c r="AD38" s="33"/>
    </row>
    <row r="39" spans="1:30" ht="12" customHeight="1">
      <c r="A39" s="188" t="s">
        <v>95</v>
      </c>
      <c r="B39" s="33"/>
      <c r="C39" s="44"/>
      <c r="D39" s="55">
        <f>D20</f>
        <v>-3999.8211504421051</v>
      </c>
      <c r="E39" s="55">
        <f t="shared" ref="E39:AB39" si="11">E20</f>
        <v>5109.853992631437</v>
      </c>
      <c r="F39" s="55">
        <f t="shared" si="11"/>
        <v>5533.180761424841</v>
      </c>
      <c r="G39" s="55">
        <f t="shared" si="11"/>
        <v>16270.239634438922</v>
      </c>
      <c r="H39" s="55">
        <f t="shared" si="11"/>
        <v>24961.929498847734</v>
      </c>
      <c r="I39" s="55">
        <f t="shared" si="11"/>
        <v>27102.110167186358</v>
      </c>
      <c r="J39" s="55">
        <f t="shared" si="11"/>
        <v>27548.105959124718</v>
      </c>
      <c r="K39" s="55">
        <f t="shared" si="11"/>
        <v>28734.235991291007</v>
      </c>
      <c r="L39" s="55">
        <f t="shared" si="11"/>
        <v>29910.972549049115</v>
      </c>
      <c r="M39" s="55">
        <f t="shared" si="11"/>
        <v>31531.666228889397</v>
      </c>
      <c r="N39" s="55">
        <f t="shared" si="11"/>
        <v>33385.090593895213</v>
      </c>
      <c r="O39" s="55">
        <f t="shared" si="11"/>
        <v>34196.121127399063</v>
      </c>
      <c r="P39" s="55">
        <f t="shared" si="11"/>
        <v>35074.085500374546</v>
      </c>
      <c r="Q39" s="55">
        <f t="shared" si="11"/>
        <v>35979.390246110423</v>
      </c>
      <c r="R39" s="55">
        <f t="shared" si="11"/>
        <v>36825.680636100595</v>
      </c>
      <c r="S39" s="55">
        <f t="shared" si="11"/>
        <v>37654.062658457246</v>
      </c>
      <c r="T39" s="55">
        <f t="shared" si="11"/>
        <v>38463.063884105308</v>
      </c>
      <c r="U39" s="55">
        <f t="shared" si="11"/>
        <v>39697.798001809635</v>
      </c>
      <c r="V39" s="55">
        <f t="shared" si="11"/>
        <v>41029.137389454467</v>
      </c>
      <c r="W39" s="55">
        <f t="shared" si="11"/>
        <v>41374.136437486515</v>
      </c>
      <c r="X39" s="55">
        <f t="shared" si="11"/>
        <v>11989.22152647345</v>
      </c>
      <c r="Y39" s="55">
        <f t="shared" si="11"/>
        <v>0</v>
      </c>
      <c r="Z39" s="55">
        <f t="shared" si="11"/>
        <v>0</v>
      </c>
      <c r="AA39" s="55">
        <f t="shared" si="11"/>
        <v>0</v>
      </c>
      <c r="AB39" s="438">
        <f t="shared" si="11"/>
        <v>0</v>
      </c>
      <c r="AC39" s="55"/>
      <c r="AD39" s="55"/>
    </row>
    <row r="40" spans="1:30" ht="12" customHeight="1">
      <c r="A40" s="188" t="s">
        <v>36</v>
      </c>
      <c r="B40" s="33"/>
      <c r="C40" s="44"/>
      <c r="D40" s="45">
        <f>D22</f>
        <v>4574.7769783333342</v>
      </c>
      <c r="E40" s="45">
        <f t="shared" ref="E40:AB40" si="12">E22</f>
        <v>7842.4748200000013</v>
      </c>
      <c r="F40" s="45">
        <f t="shared" si="12"/>
        <v>7842.4748200000013</v>
      </c>
      <c r="G40" s="45">
        <f t="shared" si="12"/>
        <v>7842.4748200000013</v>
      </c>
      <c r="H40" s="45">
        <f t="shared" si="12"/>
        <v>7842.4748200000013</v>
      </c>
      <c r="I40" s="45">
        <f t="shared" si="12"/>
        <v>7662.3425366666679</v>
      </c>
      <c r="J40" s="45">
        <f t="shared" si="12"/>
        <v>7533.6766200000011</v>
      </c>
      <c r="K40" s="45">
        <f t="shared" si="12"/>
        <v>7533.6766200000011</v>
      </c>
      <c r="L40" s="45">
        <f t="shared" si="12"/>
        <v>7533.6766200000011</v>
      </c>
      <c r="M40" s="45">
        <f t="shared" si="12"/>
        <v>7533.6766200000011</v>
      </c>
      <c r="N40" s="45">
        <f t="shared" si="12"/>
        <v>7533.6766200000011</v>
      </c>
      <c r="O40" s="45">
        <f t="shared" si="12"/>
        <v>7533.6766200000011</v>
      </c>
      <c r="P40" s="45">
        <f t="shared" si="12"/>
        <v>7533.6766200000011</v>
      </c>
      <c r="Q40" s="45">
        <f t="shared" si="12"/>
        <v>7533.6766200000011</v>
      </c>
      <c r="R40" s="45">
        <f t="shared" si="12"/>
        <v>7533.6766200000011</v>
      </c>
      <c r="S40" s="45">
        <f t="shared" si="12"/>
        <v>7533.6766200000011</v>
      </c>
      <c r="T40" s="45">
        <f t="shared" si="12"/>
        <v>7533.6766200000011</v>
      </c>
      <c r="U40" s="45">
        <f t="shared" si="12"/>
        <v>7533.6766200000011</v>
      </c>
      <c r="V40" s="45">
        <f t="shared" si="12"/>
        <v>7533.6766200000011</v>
      </c>
      <c r="W40" s="45">
        <f t="shared" si="12"/>
        <v>7533.6766200000011</v>
      </c>
      <c r="X40" s="45">
        <f t="shared" si="12"/>
        <v>7533.6766200000011</v>
      </c>
      <c r="Y40" s="45">
        <f t="shared" si="12"/>
        <v>0</v>
      </c>
      <c r="Z40" s="45">
        <f t="shared" si="12"/>
        <v>0</v>
      </c>
      <c r="AA40" s="45">
        <f t="shared" si="12"/>
        <v>0</v>
      </c>
      <c r="AB40" s="439">
        <f t="shared" si="12"/>
        <v>0</v>
      </c>
      <c r="AC40" s="46"/>
      <c r="AD40" s="46"/>
    </row>
    <row r="41" spans="1:30" s="12" customFormat="1" ht="12" customHeight="1">
      <c r="A41" s="440"/>
      <c r="B41" s="56"/>
      <c r="C41" s="47"/>
      <c r="D41" s="47">
        <f t="shared" ref="D41:AB41" si="13">SUM(D39:D40)</f>
        <v>574.95582789122909</v>
      </c>
      <c r="E41" s="47">
        <f t="shared" si="13"/>
        <v>12952.328812631438</v>
      </c>
      <c r="F41" s="47">
        <f t="shared" si="13"/>
        <v>13375.655581424842</v>
      </c>
      <c r="G41" s="47">
        <f t="shared" si="13"/>
        <v>24112.714454438923</v>
      </c>
      <c r="H41" s="47">
        <f t="shared" si="13"/>
        <v>32804.404318847737</v>
      </c>
      <c r="I41" s="47">
        <f t="shared" si="13"/>
        <v>34764.452703853029</v>
      </c>
      <c r="J41" s="47">
        <f t="shared" si="13"/>
        <v>35081.782579124716</v>
      </c>
      <c r="K41" s="47">
        <f t="shared" si="13"/>
        <v>36267.912611291009</v>
      </c>
      <c r="L41" s="47">
        <f t="shared" si="13"/>
        <v>37444.649169049117</v>
      </c>
      <c r="M41" s="47">
        <f t="shared" si="13"/>
        <v>39065.342848889399</v>
      </c>
      <c r="N41" s="47">
        <f t="shared" si="13"/>
        <v>40918.767213895211</v>
      </c>
      <c r="O41" s="47">
        <f t="shared" si="13"/>
        <v>41729.797747399061</v>
      </c>
      <c r="P41" s="47">
        <f t="shared" si="13"/>
        <v>42607.762120374544</v>
      </c>
      <c r="Q41" s="47">
        <f t="shared" si="13"/>
        <v>43513.066866110421</v>
      </c>
      <c r="R41" s="47">
        <f t="shared" si="13"/>
        <v>44359.357256100593</v>
      </c>
      <c r="S41" s="47">
        <f t="shared" si="13"/>
        <v>45187.739278457244</v>
      </c>
      <c r="T41" s="47">
        <f t="shared" si="13"/>
        <v>45996.740504105306</v>
      </c>
      <c r="U41" s="47">
        <f t="shared" si="13"/>
        <v>47231.474621809633</v>
      </c>
      <c r="V41" s="47">
        <f t="shared" si="13"/>
        <v>48562.814009454465</v>
      </c>
      <c r="W41" s="47">
        <f t="shared" si="13"/>
        <v>48907.813057486514</v>
      </c>
      <c r="X41" s="47">
        <f t="shared" si="13"/>
        <v>19522.89814647345</v>
      </c>
      <c r="Y41" s="47">
        <f t="shared" si="13"/>
        <v>0</v>
      </c>
      <c r="Z41" s="47">
        <f t="shared" si="13"/>
        <v>0</v>
      </c>
      <c r="AA41" s="47">
        <f t="shared" si="13"/>
        <v>0</v>
      </c>
      <c r="AB41" s="433">
        <f t="shared" si="13"/>
        <v>0</v>
      </c>
      <c r="AC41" s="47"/>
      <c r="AD41" s="47"/>
    </row>
    <row r="42" spans="1:30" s="12" customFormat="1" ht="12" customHeight="1">
      <c r="A42" s="188" t="s">
        <v>473</v>
      </c>
      <c r="B42" s="56"/>
      <c r="C42" s="47"/>
      <c r="D42" s="47">
        <f>IF(D4&lt;='Project Assumptions'!$I$15+1,Depreciation!D15*-1,0)</f>
        <v>-12736.259983333333</v>
      </c>
      <c r="E42" s="47">
        <f>IF(E4&lt;='Project Assumptions'!$I$15+1,Depreciation!E15*-1,0)</f>
        <v>-24165.440830000003</v>
      </c>
      <c r="F42" s="47">
        <f>IF(F4&lt;='Project Assumptions'!$I$15+1,Depreciation!F15*-1,0)</f>
        <v>-21779.776567000004</v>
      </c>
      <c r="G42" s="47">
        <f>IF(G4&lt;='Project Assumptions'!$I$15+1,Depreciation!G15*-1,0)</f>
        <v>-19645.234858</v>
      </c>
      <c r="H42" s="47">
        <f>IF(H4&lt;='Project Assumptions'!$I$15+1,Depreciation!H15*-1,0)</f>
        <v>-17711.591192200001</v>
      </c>
      <c r="I42" s="47">
        <f>IF(I4&lt;='Project Assumptions'!$I$15+1,Depreciation!I15*-1,0)</f>
        <v>-15773.601030866668</v>
      </c>
      <c r="J42" s="47">
        <f>IF(J4&lt;='Project Assumptions'!$I$15+1,Depreciation!J15*-1,0)</f>
        <v>-14816.230685999999</v>
      </c>
      <c r="K42" s="47">
        <f>IF(K4&lt;='Project Assumptions'!$I$15+1,Depreciation!K15*-1,0)</f>
        <v>-14841.3429414</v>
      </c>
      <c r="L42" s="47">
        <f>IF(L4&lt;='Project Assumptions'!$I$15+1,Depreciation!L15*-1,0)</f>
        <v>-14816.230685999999</v>
      </c>
      <c r="M42" s="47">
        <f>IF(M4&lt;='Project Assumptions'!$I$15+1,Depreciation!M15*-1,0)</f>
        <v>-14841.3429414</v>
      </c>
      <c r="N42" s="47">
        <f>IF(N4&lt;='Project Assumptions'!$I$15+1,Depreciation!N15*-1,0)</f>
        <v>-14816.230685999999</v>
      </c>
      <c r="O42" s="47">
        <f>IF(O4&lt;='Project Assumptions'!$I$15+1,Depreciation!O15*-1,0)</f>
        <v>-14841.3429414</v>
      </c>
      <c r="P42" s="47">
        <f>IF(P4&lt;='Project Assumptions'!$I$15+1,Depreciation!P15*-1,0)</f>
        <v>-14816.230685999999</v>
      </c>
      <c r="Q42" s="47">
        <f>IF(Q4&lt;='Project Assumptions'!$I$15+1,Depreciation!Q15*-1,0)</f>
        <v>-14841.3429414</v>
      </c>
      <c r="R42" s="47">
        <f>IF(R4&lt;='Project Assumptions'!$I$15+1,Depreciation!R15*-1,0)</f>
        <v>-14816.230685999999</v>
      </c>
      <c r="S42" s="47">
        <f>IF(S4&lt;='Project Assumptions'!$I$15+1,Depreciation!S15*-1,0)</f>
        <v>-7408.1153429999995</v>
      </c>
      <c r="T42" s="47">
        <f>IF(T4&lt;='Project Assumptions'!$I$15+1,Depreciation!T15*-1,0)</f>
        <v>0</v>
      </c>
      <c r="U42" s="47">
        <f>IF(U4&lt;='Project Assumptions'!$I$15+1,Depreciation!U15*-1,0)</f>
        <v>0</v>
      </c>
      <c r="V42" s="47">
        <f>IF(V4&lt;='Project Assumptions'!$I$15+1,Depreciation!V15*-1,0)</f>
        <v>0</v>
      </c>
      <c r="W42" s="47">
        <f>IF(W4&lt;='Project Assumptions'!$I$15+1,Depreciation!W15*-1,0)</f>
        <v>0</v>
      </c>
      <c r="X42" s="47">
        <f>IF(X4&lt;='Project Assumptions'!$I$15+1,Depreciation!X15*-1,0)</f>
        <v>0</v>
      </c>
      <c r="Y42" s="47">
        <f>IF(Y4&lt;='Project Assumptions'!$I$15+1,Depreciation!Y15*-1,0)</f>
        <v>0</v>
      </c>
      <c r="Z42" s="47">
        <f>IF(Z4&lt;='Project Assumptions'!$I$15+1,Depreciation!Z15*-1,0)</f>
        <v>0</v>
      </c>
      <c r="AA42" s="47">
        <f>IF(AA4&lt;='Project Assumptions'!$I$15+1,Depreciation!AA15*-1,0)</f>
        <v>0</v>
      </c>
      <c r="AB42" s="433">
        <f>IF(AB4&lt;='Project Assumptions'!$I$15+1,Depreciation!AB15*-1,0)</f>
        <v>0</v>
      </c>
      <c r="AC42" s="47"/>
      <c r="AD42" s="47"/>
    </row>
    <row r="43" spans="1:30" s="12" customFormat="1" ht="12" customHeight="1">
      <c r="A43" s="188" t="s">
        <v>474</v>
      </c>
      <c r="B43" s="56"/>
      <c r="C43" s="56"/>
      <c r="D43" s="45">
        <f>-D36</f>
        <v>0</v>
      </c>
      <c r="E43" s="45">
        <f t="shared" ref="E43:AB43" si="14">-E36</f>
        <v>0</v>
      </c>
      <c r="F43" s="45">
        <f t="shared" si="14"/>
        <v>0</v>
      </c>
      <c r="G43" s="45">
        <f t="shared" si="14"/>
        <v>0</v>
      </c>
      <c r="H43" s="45">
        <f t="shared" si="14"/>
        <v>0</v>
      </c>
      <c r="I43" s="45">
        <f t="shared" si="14"/>
        <v>-486.27319966594041</v>
      </c>
      <c r="J43" s="45">
        <f t="shared" si="14"/>
        <v>-1455.0666259263548</v>
      </c>
      <c r="K43" s="45">
        <f t="shared" si="14"/>
        <v>-1538.4277022981746</v>
      </c>
      <c r="L43" s="45">
        <f t="shared" si="14"/>
        <v>-1624.7204470829267</v>
      </c>
      <c r="M43" s="45">
        <f t="shared" si="14"/>
        <v>-1739.283193357739</v>
      </c>
      <c r="N43" s="45">
        <f t="shared" si="14"/>
        <v>-1874.1621227028763</v>
      </c>
      <c r="O43" s="45">
        <f t="shared" si="14"/>
        <v>-1930.5910550707329</v>
      </c>
      <c r="P43" s="45">
        <f t="shared" si="14"/>
        <v>-1995.4319569880925</v>
      </c>
      <c r="Q43" s="45">
        <f t="shared" si="14"/>
        <v>-2058.6297777942086</v>
      </c>
      <c r="R43" s="45">
        <f t="shared" si="14"/>
        <v>-2121.1964877332225</v>
      </c>
      <c r="S43" s="45">
        <f t="shared" si="14"/>
        <v>-2712.5769985658303</v>
      </c>
      <c r="T43" s="45">
        <f t="shared" si="14"/>
        <v>-3302.5659681947609</v>
      </c>
      <c r="U43" s="45">
        <f t="shared" si="14"/>
        <v>-3391.2198778459319</v>
      </c>
      <c r="V43" s="45">
        <f t="shared" si="14"/>
        <v>-3486.8100458788308</v>
      </c>
      <c r="W43" s="45">
        <f t="shared" si="14"/>
        <v>-3511.580977527532</v>
      </c>
      <c r="X43" s="45">
        <f t="shared" si="14"/>
        <v>-1401.7440869167938</v>
      </c>
      <c r="Y43" s="45">
        <f t="shared" si="14"/>
        <v>0</v>
      </c>
      <c r="Z43" s="45">
        <f t="shared" si="14"/>
        <v>0</v>
      </c>
      <c r="AA43" s="45">
        <f t="shared" si="14"/>
        <v>0</v>
      </c>
      <c r="AB43" s="439">
        <f t="shared" si="14"/>
        <v>0</v>
      </c>
      <c r="AC43" s="56"/>
      <c r="AD43" s="56"/>
    </row>
    <row r="44" spans="1:30" s="12" customFormat="1" ht="12" customHeight="1">
      <c r="A44" s="424" t="s">
        <v>92</v>
      </c>
      <c r="B44" s="32"/>
      <c r="C44" s="297"/>
      <c r="D44" s="298">
        <f>SUM(D41:D43)</f>
        <v>-12161.304155442103</v>
      </c>
      <c r="E44" s="298">
        <f t="shared" ref="E44:AB44" si="15">SUM(E41:E43)</f>
        <v>-11213.112017368565</v>
      </c>
      <c r="F44" s="298">
        <f t="shared" si="15"/>
        <v>-8404.1209855751622</v>
      </c>
      <c r="G44" s="298">
        <f t="shared" si="15"/>
        <v>4467.4795964389232</v>
      </c>
      <c r="H44" s="298">
        <f t="shared" si="15"/>
        <v>15092.813126647736</v>
      </c>
      <c r="I44" s="298">
        <f t="shared" si="15"/>
        <v>18504.57847332042</v>
      </c>
      <c r="J44" s="298">
        <f t="shared" si="15"/>
        <v>18810.485267198361</v>
      </c>
      <c r="K44" s="298">
        <f t="shared" si="15"/>
        <v>19888.141967592837</v>
      </c>
      <c r="L44" s="298">
        <f t="shared" si="15"/>
        <v>21003.69803596619</v>
      </c>
      <c r="M44" s="298">
        <f t="shared" si="15"/>
        <v>22484.71671413166</v>
      </c>
      <c r="N44" s="298">
        <f t="shared" si="15"/>
        <v>24228.374405192335</v>
      </c>
      <c r="O44" s="298">
        <f t="shared" si="15"/>
        <v>24957.863750928329</v>
      </c>
      <c r="P44" s="298">
        <f t="shared" si="15"/>
        <v>25796.099477386451</v>
      </c>
      <c r="Q44" s="298">
        <f t="shared" si="15"/>
        <v>26613.094146916214</v>
      </c>
      <c r="R44" s="298">
        <f t="shared" si="15"/>
        <v>27421.930082367373</v>
      </c>
      <c r="S44" s="298">
        <f t="shared" si="15"/>
        <v>35067.046936891413</v>
      </c>
      <c r="T44" s="298">
        <f t="shared" si="15"/>
        <v>42694.174535910548</v>
      </c>
      <c r="U44" s="298">
        <f t="shared" si="15"/>
        <v>43840.254743963698</v>
      </c>
      <c r="V44" s="298">
        <f t="shared" si="15"/>
        <v>45076.003963575633</v>
      </c>
      <c r="W44" s="298">
        <f t="shared" si="15"/>
        <v>45396.23207995898</v>
      </c>
      <c r="X44" s="298">
        <f t="shared" si="15"/>
        <v>18121.154059556655</v>
      </c>
      <c r="Y44" s="298">
        <f t="shared" si="15"/>
        <v>0</v>
      </c>
      <c r="Z44" s="298">
        <f t="shared" si="15"/>
        <v>0</v>
      </c>
      <c r="AA44" s="298">
        <f t="shared" si="15"/>
        <v>0</v>
      </c>
      <c r="AB44" s="441">
        <f t="shared" si="15"/>
        <v>0</v>
      </c>
      <c r="AC44" s="47"/>
      <c r="AD44" s="47"/>
    </row>
    <row r="45" spans="1:30" ht="12" customHeight="1">
      <c r="A45" s="188"/>
      <c r="B45" s="33"/>
      <c r="C45" s="57"/>
      <c r="D45" s="33"/>
      <c r="E45" s="33"/>
      <c r="F45" s="33"/>
      <c r="G45" s="33"/>
      <c r="H45" s="33"/>
      <c r="I45" s="33"/>
      <c r="J45" s="33"/>
      <c r="K45" s="33"/>
      <c r="L45" s="33"/>
      <c r="M45" s="33"/>
      <c r="N45" s="33"/>
      <c r="O45" s="33"/>
      <c r="P45" s="33"/>
      <c r="Q45" s="33"/>
      <c r="R45" s="33"/>
      <c r="S45" s="33"/>
      <c r="T45" s="33"/>
      <c r="U45" s="33"/>
      <c r="V45" s="33"/>
      <c r="W45" s="33"/>
      <c r="X45" s="33"/>
      <c r="Y45" s="33"/>
      <c r="Z45" s="33"/>
      <c r="AA45" s="33"/>
      <c r="AB45" s="414"/>
      <c r="AC45" s="33"/>
      <c r="AD45" s="33"/>
    </row>
    <row r="46" spans="1:30" ht="12" customHeight="1">
      <c r="A46" s="188" t="s">
        <v>475</v>
      </c>
      <c r="B46" s="33"/>
      <c r="C46" s="57"/>
      <c r="D46" s="442">
        <f>IF(D4&gt;ProjectLife+1,0,'Project Assumptions'!$N$63)</f>
        <v>0.35</v>
      </c>
      <c r="E46" s="442">
        <f>IF(E4&gt;ProjectLife+1,0,'Project Assumptions'!$N$63)</f>
        <v>0.35</v>
      </c>
      <c r="F46" s="442">
        <f>IF(F4&gt;ProjectLife+1,0,'Project Assumptions'!$N$63)</f>
        <v>0.35</v>
      </c>
      <c r="G46" s="442">
        <f>IF(G4&gt;ProjectLife+1,0,'Project Assumptions'!$N$63)</f>
        <v>0.35</v>
      </c>
      <c r="H46" s="442">
        <f>IF(H4&gt;ProjectLife+1,0,'Project Assumptions'!$N$63)</f>
        <v>0.35</v>
      </c>
      <c r="I46" s="442">
        <f>IF(I4&gt;ProjectLife+1,0,'Project Assumptions'!$N$63)</f>
        <v>0.35</v>
      </c>
      <c r="J46" s="442">
        <f>IF(J4&gt;ProjectLife+1,0,'Project Assumptions'!$N$63)</f>
        <v>0.35</v>
      </c>
      <c r="K46" s="442">
        <f>IF(K4&gt;ProjectLife+1,0,'Project Assumptions'!$N$63)</f>
        <v>0.35</v>
      </c>
      <c r="L46" s="442">
        <f>IF(L4&gt;ProjectLife+1,0,'Project Assumptions'!$N$63)</f>
        <v>0.35</v>
      </c>
      <c r="M46" s="442">
        <f>IF(M4&gt;ProjectLife+1,0,'Project Assumptions'!$N$63)</f>
        <v>0.35</v>
      </c>
      <c r="N46" s="442">
        <f>IF(N4&gt;ProjectLife+1,0,'Project Assumptions'!$N$63)</f>
        <v>0.35</v>
      </c>
      <c r="O46" s="442">
        <f>IF(O4&gt;ProjectLife+1,0,'Project Assumptions'!$N$63)</f>
        <v>0.35</v>
      </c>
      <c r="P46" s="442">
        <f>IF(P4&gt;ProjectLife+1,0,'Project Assumptions'!$N$63)</f>
        <v>0.35</v>
      </c>
      <c r="Q46" s="442">
        <f>IF(Q4&gt;ProjectLife+1,0,'Project Assumptions'!$N$63)</f>
        <v>0.35</v>
      </c>
      <c r="R46" s="442">
        <f>IF(R4&gt;ProjectLife+1,0,'Project Assumptions'!$N$63)</f>
        <v>0.35</v>
      </c>
      <c r="S46" s="442">
        <f>IF(S4&gt;ProjectLife+1,0,'Project Assumptions'!$N$63)</f>
        <v>0.35</v>
      </c>
      <c r="T46" s="442">
        <f>IF(T4&gt;ProjectLife+1,0,'Project Assumptions'!$N$63)</f>
        <v>0.35</v>
      </c>
      <c r="U46" s="442">
        <f>IF(U4&gt;ProjectLife+1,0,'Project Assumptions'!$N$63)</f>
        <v>0.35</v>
      </c>
      <c r="V46" s="442">
        <f>IF(V4&gt;ProjectLife+1,0,'Project Assumptions'!$N$63)</f>
        <v>0.35</v>
      </c>
      <c r="W46" s="442">
        <f>IF(W4&gt;ProjectLife+1,0,'Project Assumptions'!$N$63)</f>
        <v>0.35</v>
      </c>
      <c r="X46" s="442">
        <f>IF(X4&gt;ProjectLife+1,0,'Project Assumptions'!$N$63)</f>
        <v>0.35</v>
      </c>
      <c r="Y46" s="442">
        <f>IF(Y4&gt;ProjectLife+1,0,'Project Assumptions'!$N$63)</f>
        <v>0</v>
      </c>
      <c r="Z46" s="442">
        <f>IF(Z4&gt;ProjectLife+1,0,'Project Assumptions'!$N$63)</f>
        <v>0</v>
      </c>
      <c r="AA46" s="442">
        <f>IF(AA4&gt;ProjectLife+1,0,'Project Assumptions'!$N$63)</f>
        <v>0</v>
      </c>
      <c r="AB46" s="443">
        <f>IF(AB4&gt;ProjectLife+1,0,'Project Assumptions'!$N$63)</f>
        <v>0</v>
      </c>
      <c r="AC46" s="33"/>
      <c r="AD46" s="33"/>
    </row>
    <row r="47" spans="1:30" ht="12" customHeight="1">
      <c r="A47" s="188" t="s">
        <v>461</v>
      </c>
      <c r="B47" s="33"/>
      <c r="C47" s="44"/>
      <c r="D47" s="264">
        <f>D44*D46</f>
        <v>-4256.4564544047362</v>
      </c>
      <c r="E47" s="264">
        <f t="shared" ref="E47:AB47" si="16">E44*E46</f>
        <v>-3924.5892060789974</v>
      </c>
      <c r="F47" s="264">
        <f t="shared" si="16"/>
        <v>-2941.4423449513065</v>
      </c>
      <c r="G47" s="264">
        <f t="shared" si="16"/>
        <v>1563.6178587536231</v>
      </c>
      <c r="H47" s="264">
        <f t="shared" si="16"/>
        <v>5282.4845943267073</v>
      </c>
      <c r="I47" s="264">
        <f t="shared" si="16"/>
        <v>6476.6024656621466</v>
      </c>
      <c r="J47" s="264">
        <f t="shared" si="16"/>
        <v>6583.6698435194257</v>
      </c>
      <c r="K47" s="264">
        <f t="shared" si="16"/>
        <v>6960.8496886574931</v>
      </c>
      <c r="L47" s="264">
        <f t="shared" si="16"/>
        <v>7351.2943125881657</v>
      </c>
      <c r="M47" s="264">
        <f t="shared" si="16"/>
        <v>7869.6508499460806</v>
      </c>
      <c r="N47" s="264">
        <f t="shared" si="16"/>
        <v>8479.9310418173172</v>
      </c>
      <c r="O47" s="264">
        <f t="shared" si="16"/>
        <v>8735.252312824914</v>
      </c>
      <c r="P47" s="264">
        <f t="shared" si="16"/>
        <v>9028.634817085258</v>
      </c>
      <c r="Q47" s="264">
        <f t="shared" si="16"/>
        <v>9314.5829514206744</v>
      </c>
      <c r="R47" s="264">
        <f t="shared" si="16"/>
        <v>9597.6755288285804</v>
      </c>
      <c r="S47" s="264">
        <f t="shared" si="16"/>
        <v>12273.466427911993</v>
      </c>
      <c r="T47" s="264">
        <f t="shared" si="16"/>
        <v>14942.96108756869</v>
      </c>
      <c r="U47" s="264">
        <f t="shared" si="16"/>
        <v>15344.089160387293</v>
      </c>
      <c r="V47" s="264">
        <f t="shared" si="16"/>
        <v>15776.60138725147</v>
      </c>
      <c r="W47" s="264">
        <f t="shared" si="16"/>
        <v>15888.681227985642</v>
      </c>
      <c r="X47" s="264">
        <f t="shared" si="16"/>
        <v>6342.4039208448285</v>
      </c>
      <c r="Y47" s="264">
        <f t="shared" si="16"/>
        <v>0</v>
      </c>
      <c r="Z47" s="264">
        <f t="shared" si="16"/>
        <v>0</v>
      </c>
      <c r="AA47" s="264">
        <f t="shared" si="16"/>
        <v>0</v>
      </c>
      <c r="AB47" s="444">
        <f t="shared" si="16"/>
        <v>0</v>
      </c>
      <c r="AC47" s="55"/>
      <c r="AD47" s="55"/>
    </row>
    <row r="48" spans="1:30">
      <c r="A48" s="420"/>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414"/>
      <c r="AC48" s="33"/>
      <c r="AD48" s="33"/>
    </row>
    <row r="49" spans="1:30" s="24" customFormat="1">
      <c r="A49" s="420" t="s">
        <v>93</v>
      </c>
      <c r="B49" s="431"/>
      <c r="C49" s="33"/>
      <c r="D49" s="47">
        <f>IF(D4&gt;'Project Assumptions'!$I$15+1,0,IF(C49-C50+IF(D47&lt;0,-1*D47,0)&gt;0,C49-C50+IF(D47&lt;0,-1*D47,0),0))</f>
        <v>4256.4564544047362</v>
      </c>
      <c r="E49" s="47">
        <f>IF(E4&gt;'Project Assumptions'!$I$15+1,0,IF(D49-D50+IF(E47&lt;0,-1*E47,0)&gt;0,D49-D50+IF(E47&lt;0,-1*E47,0),0))</f>
        <v>8181.0456604837336</v>
      </c>
      <c r="F49" s="47">
        <f>IF(F4&gt;'Project Assumptions'!$I$15+1,0,IF(E49-E50+IF(F47&lt;0,-1*F47,0)&gt;0,E49-E50+IF(F47&lt;0,-1*F47,0),0))</f>
        <v>11122.48800543504</v>
      </c>
      <c r="G49" s="47">
        <f>IF(G4&gt;'Project Assumptions'!$I$15+1,0,IF(F49-F50+IF(G47&lt;0,-1*G47,0)&gt;0,F49-F50+IF(G47&lt;0,-1*G47,0),0))</f>
        <v>11122.48800543504</v>
      </c>
      <c r="H49" s="47">
        <f>IF(H4&gt;'Project Assumptions'!$I$15+1,0,IF(G49-G50+IF(H47&lt;0,-1*H47,0)&gt;0,G49-G50+IF(H47&lt;0,-1*H47,0),0))</f>
        <v>9558.8701466814164</v>
      </c>
      <c r="I49" s="47">
        <f>IF(I4&gt;'Project Assumptions'!$I$15+1,0,IF(H49-H50+IF(I47&lt;0,-1*I47,0)&gt;0,H49-H50+IF(I47&lt;0,-1*I47,0),0))</f>
        <v>4276.385552354709</v>
      </c>
      <c r="J49" s="47">
        <f>IF(J4&gt;'Project Assumptions'!$I$15+1,0,IF(I49-I50+IF(J47&lt;0,-1*J47,0)&gt;0,I49-I50+IF(J47&lt;0,-1*J47,0),0))</f>
        <v>0</v>
      </c>
      <c r="K49" s="47">
        <f>IF(K4&gt;'Project Assumptions'!$I$15+1,0,IF(J49-J50+IF(K47&lt;0,-1*K47,0)&gt;0,J49-J50+IF(K47&lt;0,-1*K47,0),0))</f>
        <v>0</v>
      </c>
      <c r="L49" s="47">
        <f>IF(L4&gt;'Project Assumptions'!$I$15+1,0,IF(K49-K50+IF(L47&lt;0,-1*L47,0)&gt;0,K49-K50+IF(L47&lt;0,-1*L47,0),0))</f>
        <v>0</v>
      </c>
      <c r="M49" s="47">
        <f>IF(M4&gt;'Project Assumptions'!$I$15+1,0,IF(L49-L50+IF(M47&lt;0,-1*M47,0)&gt;0,L49-L50+IF(M47&lt;0,-1*M47,0),0))</f>
        <v>0</v>
      </c>
      <c r="N49" s="47">
        <f>IF(N4&gt;'Project Assumptions'!$I$15+1,0,IF(M49-M50+IF(N47&lt;0,-1*N47,0)&gt;0,M49-M50+IF(N47&lt;0,-1*N47,0),0))</f>
        <v>0</v>
      </c>
      <c r="O49" s="47">
        <f>IF(O4&gt;'Project Assumptions'!$I$15+1,0,IF(N49-N50+IF(O47&lt;0,-1*O47,0)&gt;0,N49-N50+IF(O47&lt;0,-1*O47,0),0))</f>
        <v>0</v>
      </c>
      <c r="P49" s="47">
        <f>IF(P4&gt;'Project Assumptions'!$I$15+1,0,IF(O49-O50+IF(P47&lt;0,-1*P47,0)&gt;0,O49-O50+IF(P47&lt;0,-1*P47,0),0))</f>
        <v>0</v>
      </c>
      <c r="Q49" s="47">
        <f>IF(Q4&gt;'Project Assumptions'!$I$15+1,0,IF(P49-P50+IF(Q47&lt;0,-1*Q47,0)&gt;0,P49-P50+IF(Q47&lt;0,-1*Q47,0),0))</f>
        <v>0</v>
      </c>
      <c r="R49" s="47">
        <f>IF(R4&gt;'Project Assumptions'!$I$15+1,0,IF(Q49-Q50+IF(R47&lt;0,-1*R47,0)&gt;0,Q49-Q50+IF(R47&lt;0,-1*R47,0),0))</f>
        <v>0</v>
      </c>
      <c r="S49" s="47">
        <f>IF(S4&gt;'Project Assumptions'!$I$15+1,0,IF(R49-R50+IF(S47&lt;0,-1*S47,0)&gt;0,R49-R50+IF(S47&lt;0,-1*S47,0),0))</f>
        <v>0</v>
      </c>
      <c r="T49" s="47">
        <f>IF(T4&gt;'Project Assumptions'!$I$15+1,0,IF(S49-S50+IF(T47&lt;0,-1*T47,0)&gt;0,S49-S50+IF(T47&lt;0,-1*T47,0),0))</f>
        <v>0</v>
      </c>
      <c r="U49" s="47">
        <f>IF(U4&gt;'Project Assumptions'!$I$15+1,0,IF(T49-T50+IF(U47&lt;0,-1*U47,0)&gt;0,T49-T50+IF(U47&lt;0,-1*U47,0),0))</f>
        <v>0</v>
      </c>
      <c r="V49" s="47">
        <f>IF(V4&gt;'Project Assumptions'!$I$15+1,0,IF(U49-U50+IF(V47&lt;0,-1*V47,0)&gt;0,U49-U50+IF(V47&lt;0,-1*V47,0),0))</f>
        <v>0</v>
      </c>
      <c r="W49" s="47">
        <f>IF(W4&gt;'Project Assumptions'!$I$15+1,0,IF(V49-V50+IF(W47&lt;0,-1*W47,0)&gt;0,V49-V50+IF(W47&lt;0,-1*W47,0),0))</f>
        <v>0</v>
      </c>
      <c r="X49" s="47">
        <f>IF(X4&gt;'Project Assumptions'!$I$15+1,0,IF(W49-W50+IF(X47&lt;0,-1*X47,0)&gt;0,W49-W50+IF(X47&lt;0,-1*X47,0),0))</f>
        <v>0</v>
      </c>
      <c r="Y49" s="47">
        <f>IF(Y4&gt;'Project Assumptions'!$I$15+1,0,IF(X49-X50+IF(Y47&lt;0,-1*Y47,0)&gt;0,X49-X50+IF(Y47&lt;0,-1*Y47,0),0))</f>
        <v>0</v>
      </c>
      <c r="Z49" s="47">
        <f>IF(Z4&gt;'Project Assumptions'!$I$15+1,0,IF(Y49-Y50+IF(Z47&lt;0,-1*Z47,0)&gt;0,Y49-Y50+IF(Z47&lt;0,-1*Z47,0),0))</f>
        <v>0</v>
      </c>
      <c r="AA49" s="47">
        <f>IF(AA4&gt;'Project Assumptions'!$I$15+1,0,IF(Z49-Z50+IF(AA47&lt;0,-1*AA47,0)&gt;0,Z49-Z50+IF(AA47&lt;0,-1*AA47,0),0))</f>
        <v>0</v>
      </c>
      <c r="AB49" s="433">
        <f>IF(AB4&gt;'Project Assumptions'!$I$15+1,0,IF(AA49-AA50+IF(AB47&lt;0,-1*AB47,0)&gt;0,AA49-AA50+IF(AB47&lt;0,-1*AB47,0),0))</f>
        <v>0</v>
      </c>
      <c r="AC49" s="33"/>
      <c r="AD49" s="33"/>
    </row>
    <row r="50" spans="1:30" s="24" customFormat="1">
      <c r="A50" s="420" t="s">
        <v>94</v>
      </c>
      <c r="B50" s="431"/>
      <c r="C50" s="33"/>
      <c r="D50" s="47">
        <f>IF('Project Assumptions'!$C$65="No",0,IF(D4&lt;='Project Assumptions'!$C$67,IF(D47&lt;0,0,IF(D49&gt;D47,D47,D49)),0))</f>
        <v>0</v>
      </c>
      <c r="E50" s="47">
        <f>IF('Project Assumptions'!$C$65="No",0,IF(E4&lt;='Project Assumptions'!$C$67,IF(E47&lt;0,0,IF(E49&gt;E47,E47,E49)),0))</f>
        <v>0</v>
      </c>
      <c r="F50" s="47">
        <f>IF('Project Assumptions'!$C$65="No",0,IF(F4&lt;='Project Assumptions'!$C$67,IF(F47&lt;0,0,IF(F49&gt;F47,F47,F49)),0))</f>
        <v>0</v>
      </c>
      <c r="G50" s="47">
        <f>IF('Project Assumptions'!$C$65="No",0,IF(G4&lt;='Project Assumptions'!$C$67,IF(G47&lt;0,0,IF(G49&gt;G47,G47,G49)),0))</f>
        <v>1563.6178587536231</v>
      </c>
      <c r="H50" s="47">
        <f>IF('Project Assumptions'!$C$65="No",0,IF(H4&lt;='Project Assumptions'!$C$67,IF(H47&lt;0,0,IF(H49&gt;H47,H47,H49)),0))</f>
        <v>5282.4845943267073</v>
      </c>
      <c r="I50" s="47">
        <f>IF('Project Assumptions'!$C$65="No",0,IF(I4&lt;='Project Assumptions'!$C$67,IF(I47&lt;0,0,IF(I49&gt;I47,I47,I49)),0))</f>
        <v>4276.385552354709</v>
      </c>
      <c r="J50" s="47">
        <f>IF('Project Assumptions'!$C$65="No",0,IF(J4&lt;='Project Assumptions'!$C$67,IF(J47&lt;0,0,IF(J49&gt;J47,J47,J49)),0))</f>
        <v>0</v>
      </c>
      <c r="K50" s="47">
        <f>IF('Project Assumptions'!$C$65="No",0,IF(K4&lt;='Project Assumptions'!$C$67,IF(K47&lt;0,0,IF(K49&gt;K47,K47,K49)),0))</f>
        <v>0</v>
      </c>
      <c r="L50" s="47">
        <f>IF('Project Assumptions'!$C$65="No",0,IF(L4&lt;='Project Assumptions'!$C$67,IF(L47&lt;0,0,IF(L49&gt;L47,L47,L49)),0))</f>
        <v>0</v>
      </c>
      <c r="M50" s="47">
        <f>IF('Project Assumptions'!$C$65="No",0,IF(M4&lt;='Project Assumptions'!$C$67,IF(M47&lt;0,0,IF(M49&gt;M47,M47,M49)),0))</f>
        <v>0</v>
      </c>
      <c r="N50" s="47">
        <f>IF('Project Assumptions'!$C$65="No",0,IF(N4&lt;='Project Assumptions'!$C$67,IF(N47&lt;0,0,IF(N49&gt;N47,N47,N49)),0))</f>
        <v>0</v>
      </c>
      <c r="O50" s="47">
        <f>IF('Project Assumptions'!$C$65="No",0,IF(O4&lt;='Project Assumptions'!$C$67,IF(O47&lt;0,0,IF(O49&gt;O47,O47,O49)),0))</f>
        <v>0</v>
      </c>
      <c r="P50" s="47">
        <f>IF('Project Assumptions'!$C$65="No",0,IF(P4&lt;='Project Assumptions'!$C$67,IF(P47&lt;0,0,IF(P49&gt;P47,P47,P49)),0))</f>
        <v>0</v>
      </c>
      <c r="Q50" s="47">
        <f>IF('Project Assumptions'!$C$65="No",0,IF(Q4&lt;='Project Assumptions'!$C$67,IF(Q47&lt;0,0,IF(Q49&gt;Q47,Q47,Q49)),0))</f>
        <v>0</v>
      </c>
      <c r="R50" s="47">
        <f>IF('Project Assumptions'!$C$65="No",0,IF(R4&lt;='Project Assumptions'!$C$67,IF(R47&lt;0,0,IF(R49&gt;R47,R47,R49)),0))</f>
        <v>0</v>
      </c>
      <c r="S50" s="47">
        <f>IF('Project Assumptions'!$C$65="No",0,IF(S4&lt;='Project Assumptions'!$C$67,IF(S47&lt;0,0,IF(S49&gt;S47,S47,S49)),0))</f>
        <v>0</v>
      </c>
      <c r="T50" s="47">
        <f>IF('Project Assumptions'!$C$65="No",0,IF(T4&lt;='Project Assumptions'!$C$67,IF(T47&lt;0,0,IF(T49&gt;T47,T47,T49)),0))</f>
        <v>0</v>
      </c>
      <c r="U50" s="47">
        <f>IF('Project Assumptions'!$C$65="No",0,IF(U4&lt;='Project Assumptions'!$C$67,IF(U47&lt;0,0,IF(U49&gt;U47,U47,U49)),0))</f>
        <v>0</v>
      </c>
      <c r="V50" s="47">
        <f>IF('Project Assumptions'!$C$65="No",0,IF(V4&lt;='Project Assumptions'!$C$67,IF(V47&lt;0,0,IF(V49&gt;V47,V47,V49)),0))</f>
        <v>0</v>
      </c>
      <c r="W50" s="47">
        <f>IF('Project Assumptions'!$C$65="No",0,IF(W4&lt;='Project Assumptions'!$C$67,IF(W47&lt;0,0,IF(W49&gt;W47,W47,W49)),0))</f>
        <v>0</v>
      </c>
      <c r="X50" s="47">
        <f>IF('Project Assumptions'!$C$65="No",0,IF(X4&lt;='Project Assumptions'!$C$67,IF(X47&lt;0,0,IF(X49&gt;X47,X47,X49)),0))</f>
        <v>0</v>
      </c>
      <c r="Y50" s="47">
        <f>IF('Project Assumptions'!$C$65="No",0,IF(Y4&lt;='Project Assumptions'!$C$67,IF(Y47&lt;0,0,IF(Y49&gt;Y47,Y47,Y49)),0))</f>
        <v>0</v>
      </c>
      <c r="Z50" s="47">
        <f>IF('Project Assumptions'!$C$65="No",0,IF(Z4&lt;='Project Assumptions'!$C$67,IF(Z47&lt;0,0,IF(Z49&gt;Z47,Z47,Z49)),0))</f>
        <v>0</v>
      </c>
      <c r="AA50" s="47">
        <f>IF('Project Assumptions'!$C$65="No",0,IF(AA4&lt;='Project Assumptions'!$C$67,IF(AA47&lt;0,0,IF(AA49&gt;AA47,AA47,AA49)),0))</f>
        <v>0</v>
      </c>
      <c r="AB50" s="433">
        <f>IF('Project Assumptions'!$C$65="No",0,IF(AB4&lt;='Project Assumptions'!$C$67,IF(AB47&lt;0,0,IF(AB49&gt;AB47,AB47,AB49)),0))</f>
        <v>0</v>
      </c>
      <c r="AC50" s="34"/>
      <c r="AD50" s="34"/>
    </row>
    <row r="51" spans="1:30" s="24" customFormat="1">
      <c r="A51" s="420"/>
      <c r="B51" s="431"/>
      <c r="C51" s="33"/>
      <c r="D51" s="47"/>
      <c r="E51" s="47"/>
      <c r="F51" s="47"/>
      <c r="G51" s="47"/>
      <c r="H51" s="47"/>
      <c r="I51" s="47"/>
      <c r="J51" s="47"/>
      <c r="K51" s="47"/>
      <c r="L51" s="47"/>
      <c r="M51" s="47"/>
      <c r="N51" s="47"/>
      <c r="O51" s="47"/>
      <c r="P51" s="47"/>
      <c r="Q51" s="47"/>
      <c r="R51" s="47"/>
      <c r="S51" s="47"/>
      <c r="T51" s="47"/>
      <c r="U51" s="47"/>
      <c r="V51" s="47"/>
      <c r="W51" s="47"/>
      <c r="X51" s="47"/>
      <c r="Y51" s="47"/>
      <c r="Z51" s="47"/>
      <c r="AA51" s="47"/>
      <c r="AB51" s="433"/>
      <c r="AC51" s="34"/>
      <c r="AD51" s="34"/>
    </row>
    <row r="52" spans="1:30" s="24" customFormat="1">
      <c r="A52" s="296" t="s">
        <v>462</v>
      </c>
      <c r="B52" s="299"/>
      <c r="C52" s="300"/>
      <c r="D52" s="301">
        <f>IF(AND('Project Assumptions'!$C$65="No",D47&lt;0),D47,IF(AND('Project Assumptions'!$C$65="No",D47&gt;0),D47,IF(D47&lt;0,0,(D47-D50))))</f>
        <v>0</v>
      </c>
      <c r="E52" s="301">
        <f>IF(AND('Project Assumptions'!$C$65="No",E47&lt;0),E47,IF(AND('Project Assumptions'!$C$65="No",E47&gt;0),E47,IF(E47&lt;0,0,(E47-E50))))</f>
        <v>0</v>
      </c>
      <c r="F52" s="301">
        <f>IF(AND('Project Assumptions'!$C$65="No",F47&lt;0),F47,IF(AND('Project Assumptions'!$C$65="No",F47&gt;0),F47,IF(F47&lt;0,0,(F47-F50))))</f>
        <v>0</v>
      </c>
      <c r="G52" s="301">
        <f>IF(AND('Project Assumptions'!$C$65="No",G47&lt;0),G47,IF(AND('Project Assumptions'!$C$65="No",G47&gt;0),G47,IF(G47&lt;0,0,(G47-G50))))</f>
        <v>0</v>
      </c>
      <c r="H52" s="301">
        <f>IF(AND('Project Assumptions'!$C$65="No",H47&lt;0),H47,IF(AND('Project Assumptions'!$C$65="No",H47&gt;0),H47,IF(H47&lt;0,0,(H47-H50))))</f>
        <v>0</v>
      </c>
      <c r="I52" s="301">
        <f>IF(AND('Project Assumptions'!$C$65="No",I47&lt;0),I47,IF(AND('Project Assumptions'!$C$65="No",I47&gt;0),I47,IF(I47&lt;0,0,(I47-I50))))</f>
        <v>2200.2169133074376</v>
      </c>
      <c r="J52" s="301">
        <f>IF(AND('Project Assumptions'!$C$65="No",J47&lt;0),J47,IF(AND('Project Assumptions'!$C$65="No",J47&gt;0),J47,IF(J47&lt;0,0,(J47-J50))))</f>
        <v>6583.6698435194257</v>
      </c>
      <c r="K52" s="301">
        <f>IF(AND('Project Assumptions'!$C$65="No",K47&lt;0),K47,IF(AND('Project Assumptions'!$C$65="No",K47&gt;0),K47,IF(K47&lt;0,0,(K47-K50))))</f>
        <v>6960.8496886574931</v>
      </c>
      <c r="L52" s="301">
        <f>IF(AND('Project Assumptions'!$C$65="No",L47&lt;0),L47,IF(AND('Project Assumptions'!$C$65="No",L47&gt;0),L47,IF(L47&lt;0,0,(L47-L50))))</f>
        <v>7351.2943125881657</v>
      </c>
      <c r="M52" s="301">
        <f>IF(AND('Project Assumptions'!$C$65="No",M47&lt;0),M47,IF(AND('Project Assumptions'!$C$65="No",M47&gt;0),M47,IF(M47&lt;0,0,(M47-M50))))</f>
        <v>7869.6508499460806</v>
      </c>
      <c r="N52" s="301">
        <f>IF(AND('Project Assumptions'!$C$65="No",N47&lt;0),N47,IF(AND('Project Assumptions'!$C$65="No",N47&gt;0),N47,IF(N47&lt;0,0,(N47-N50))))</f>
        <v>8479.9310418173172</v>
      </c>
      <c r="O52" s="301">
        <f>IF(AND('Project Assumptions'!$C$65="No",O47&lt;0),O47,IF(AND('Project Assumptions'!$C$65="No",O47&gt;0),O47,IF(O47&lt;0,0,(O47-O50))))</f>
        <v>8735.252312824914</v>
      </c>
      <c r="P52" s="301">
        <f>IF(AND('Project Assumptions'!$C$65="No",P47&lt;0),P47,IF(AND('Project Assumptions'!$C$65="No",P47&gt;0),P47,IF(P47&lt;0,0,(P47-P50))))</f>
        <v>9028.634817085258</v>
      </c>
      <c r="Q52" s="301">
        <f>IF(AND('Project Assumptions'!$C$65="No",Q47&lt;0),Q47,IF(AND('Project Assumptions'!$C$65="No",Q47&gt;0),Q47,IF(Q47&lt;0,0,(Q47-Q50))))</f>
        <v>9314.5829514206744</v>
      </c>
      <c r="R52" s="301">
        <f>IF(AND('Project Assumptions'!$C$65="No",R47&lt;0),R47,IF(AND('Project Assumptions'!$C$65="No",R47&gt;0),R47,IF(R47&lt;0,0,(R47-R50))))</f>
        <v>9597.6755288285804</v>
      </c>
      <c r="S52" s="301">
        <f>IF(AND('Project Assumptions'!$C$65="No",S47&lt;0),S47,IF(AND('Project Assumptions'!$C$65="No",S47&gt;0),S47,IF(S47&lt;0,0,(S47-S50))))</f>
        <v>12273.466427911993</v>
      </c>
      <c r="T52" s="301">
        <f>IF(AND('Project Assumptions'!$C$65="No",T47&lt;0),T47,IF(AND('Project Assumptions'!$C$65="No",T47&gt;0),T47,IF(T47&lt;0,0,(T47-T50))))</f>
        <v>14942.96108756869</v>
      </c>
      <c r="U52" s="301">
        <f>IF(AND('Project Assumptions'!$C$65="No",U47&lt;0),U47,IF(AND('Project Assumptions'!$C$65="No",U47&gt;0),U47,IF(U47&lt;0,0,(U47-U50))))</f>
        <v>15344.089160387293</v>
      </c>
      <c r="V52" s="301">
        <f>IF(AND('Project Assumptions'!$C$65="No",V47&lt;0),V47,IF(AND('Project Assumptions'!$C$65="No",V47&gt;0),V47,IF(V47&lt;0,0,(V47-V50))))</f>
        <v>15776.60138725147</v>
      </c>
      <c r="W52" s="301">
        <f>IF(AND('Project Assumptions'!$C$65="No",W47&lt;0),W47,IF(AND('Project Assumptions'!$C$65="No",W47&gt;0),W47,IF(W47&lt;0,0,(W47-W50))))</f>
        <v>15888.681227985642</v>
      </c>
      <c r="X52" s="301">
        <f>IF(AND('Project Assumptions'!$C$65="No",X47&lt;0),X47,IF(AND('Project Assumptions'!$C$65="No",X47&gt;0),X47,IF(X47&lt;0,0,(X47-X50))))</f>
        <v>6342.4039208448285</v>
      </c>
      <c r="Y52" s="301">
        <f>IF(AND('Project Assumptions'!$C$65="No",Y47&lt;0),Y47,IF(AND('Project Assumptions'!$C$65="No",Y47&gt;0),Y47,IF(Y47&lt;0,0,(Y47-Y50))))</f>
        <v>0</v>
      </c>
      <c r="Z52" s="301">
        <f>IF(AND('Project Assumptions'!$C$65="No",Z47&lt;0),Z47,IF(AND('Project Assumptions'!$C$65="No",Z47&gt;0),Z47,IF(Z47&lt;0,0,(Z47-Z50))))</f>
        <v>0</v>
      </c>
      <c r="AA52" s="301">
        <f>IF(AND('Project Assumptions'!$C$65="No",AA47&lt;0),AA47,IF(AND('Project Assumptions'!$C$65="No",AA47&gt;0),AA47,IF(AA47&lt;0,0,(AA47-AA50))))</f>
        <v>0</v>
      </c>
      <c r="AB52" s="302">
        <f>IF(AND('Project Assumptions'!$C$65="No",AB47&lt;0),AB47,IF(AND('Project Assumptions'!$C$65="No",AB47&gt;0),AB47,IF(AB47&lt;0,0,(AB47-AB50))))</f>
        <v>0</v>
      </c>
      <c r="AC52" s="34"/>
      <c r="AD52" s="34"/>
    </row>
    <row r="53" spans="1:30" ht="12.75">
      <c r="A53" s="58"/>
      <c r="B53" s="39"/>
      <c r="D53" s="48"/>
      <c r="E53" s="48"/>
      <c r="F53" s="48"/>
      <c r="G53" s="48"/>
      <c r="H53" s="48"/>
      <c r="I53" s="48"/>
      <c r="J53" s="48"/>
      <c r="K53" s="48"/>
      <c r="L53" s="48"/>
      <c r="M53" s="48"/>
      <c r="N53" s="48"/>
      <c r="O53" s="48"/>
      <c r="P53" s="48"/>
      <c r="Q53" s="48"/>
      <c r="R53" s="48"/>
      <c r="S53" s="48"/>
      <c r="T53" s="48"/>
      <c r="U53" s="48"/>
      <c r="V53" s="48"/>
      <c r="W53" s="48"/>
      <c r="X53" s="48"/>
      <c r="Y53" s="48"/>
      <c r="Z53" s="48"/>
      <c r="AA53" s="48"/>
      <c r="AB53" s="48"/>
    </row>
    <row r="54" spans="1:30" ht="12.75">
      <c r="A54" s="445" t="s">
        <v>402</v>
      </c>
      <c r="B54" s="446"/>
      <c r="C54" s="447"/>
      <c r="D54" s="448"/>
      <c r="E54" s="448"/>
      <c r="F54" s="448"/>
      <c r="G54" s="448"/>
      <c r="H54" s="448"/>
      <c r="I54" s="448"/>
      <c r="J54" s="448"/>
      <c r="K54" s="448"/>
      <c r="L54" s="448"/>
      <c r="M54" s="448"/>
      <c r="N54" s="448"/>
      <c r="O54" s="448"/>
      <c r="P54" s="448"/>
      <c r="Q54" s="448"/>
      <c r="R54" s="448"/>
      <c r="S54" s="448"/>
      <c r="T54" s="448"/>
      <c r="U54" s="448"/>
      <c r="V54" s="448"/>
      <c r="W54" s="448"/>
      <c r="X54" s="448"/>
      <c r="Y54" s="448"/>
      <c r="Z54" s="448"/>
      <c r="AA54" s="448"/>
      <c r="AB54" s="449"/>
    </row>
    <row r="55" spans="1:30">
      <c r="A55" s="420"/>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414"/>
    </row>
    <row r="56" spans="1:30">
      <c r="A56" s="420" t="s">
        <v>414</v>
      </c>
      <c r="B56" s="33"/>
      <c r="C56" s="33"/>
      <c r="D56" s="310">
        <f>'Cash Flow Statement'!D22+'Cash Flow Statement'!D10</f>
        <v>0</v>
      </c>
      <c r="E56" s="310">
        <f>'Cash Flow Statement'!E22+'Cash Flow Statement'!E10</f>
        <v>349.86902101560014</v>
      </c>
      <c r="F56" s="310">
        <f>'Cash Flow Statement'!F22+'Cash Flow Statement'!F10</f>
        <v>349.86902101560014</v>
      </c>
      <c r="G56" s="310">
        <f>'Cash Flow Statement'!G22+'Cash Flow Statement'!G10</f>
        <v>349.86902101560014</v>
      </c>
      <c r="H56" s="310">
        <f>'Cash Flow Statement'!H22+'Cash Flow Statement'!H10</f>
        <v>349.86902101560014</v>
      </c>
      <c r="I56" s="310">
        <f>'Cash Flow Statement'!I22+'Cash Flow Statement'!I10</f>
        <v>3036.3591339889781</v>
      </c>
      <c r="J56" s="310">
        <f>'Cash Flow Statement'!J22+'Cash Flow Statement'!J10</f>
        <v>8346.62120793951</v>
      </c>
      <c r="K56" s="310">
        <f>'Cash Flow Statement'!K22+'Cash Flow Statement'!K10</f>
        <v>8807.1621294493962</v>
      </c>
      <c r="L56" s="310">
        <f>'Cash Flow Statement'!L22+'Cash Flow Statement'!L10</f>
        <v>9283.8994981648211</v>
      </c>
      <c r="M56" s="310">
        <f>'Cash Flow Statement'!M22+'Cash Flow Statement'!M10</f>
        <v>9916.8187817975486</v>
      </c>
      <c r="N56" s="310">
        <f>'Cash Flow Statement'!N22+'Cash Flow Statement'!N10</f>
        <v>10619.993620492049</v>
      </c>
      <c r="O56" s="310">
        <f>'Cash Flow Statement'!O22+'Cash Flow Statement'!O10</f>
        <v>10931.743823867502</v>
      </c>
      <c r="P56" s="310">
        <f>'Cash Flow Statement'!P22+'Cash Flow Statement'!P10</f>
        <v>11289.967230045206</v>
      </c>
      <c r="Q56" s="310">
        <f>'Cash Flow Statement'!Q22+'Cash Flow Statement'!Q10</f>
        <v>11639.113185186739</v>
      </c>
      <c r="R56" s="310">
        <f>'Cash Flow Statement'!R22+'Cash Flow Statement'!R10</f>
        <v>11942.788190011788</v>
      </c>
      <c r="S56" s="310">
        <f>'Cash Flow Statement'!S22+'Cash Flow Statement'!S10</f>
        <v>15209.959599927808</v>
      </c>
      <c r="T56" s="310">
        <f>'Cash Flow Statement'!T22+'Cash Flow Statement'!T10</f>
        <v>18469.443229213433</v>
      </c>
      <c r="U56" s="310">
        <f>'Cash Flow Statement'!U22+'Cash Flow Statement'!U10</f>
        <v>18959.22521168321</v>
      </c>
      <c r="V56" s="310">
        <f>'Cash Flow Statement'!V22+'Cash Flow Statement'!V10</f>
        <v>19445.343324058416</v>
      </c>
      <c r="W56" s="310">
        <f>'Cash Flow Statement'!W22+'Cash Flow Statement'!W10</f>
        <v>19582.194096441286</v>
      </c>
      <c r="X56" s="310">
        <f>'Cash Flow Statement'!X22+'Cash Flow Statement'!X10</f>
        <v>7926.0798986897344</v>
      </c>
      <c r="Y56" s="310">
        <f>'Cash Flow Statement'!Y22+'Cash Flow Statement'!Y10</f>
        <v>0</v>
      </c>
      <c r="Z56" s="310">
        <f>'Cash Flow Statement'!Z22+'Cash Flow Statement'!Z10</f>
        <v>0</v>
      </c>
      <c r="AA56" s="310">
        <f>'Cash Flow Statement'!AA22+'Cash Flow Statement'!AA10</f>
        <v>0</v>
      </c>
      <c r="AB56" s="311">
        <f>'Cash Flow Statement'!AB22+'Cash Flow Statement'!AB10</f>
        <v>0</v>
      </c>
    </row>
    <row r="57" spans="1:30">
      <c r="A57" s="420" t="s">
        <v>413</v>
      </c>
      <c r="B57" s="33"/>
      <c r="C57" s="33"/>
      <c r="D57" s="450">
        <f>'Book Income Statement'!D76+'Book Income Statement'!D55</f>
        <v>-1236.7400347302696</v>
      </c>
      <c r="E57" s="450">
        <f>'Book Income Statement'!E76+'Book Income Statement'!E55</f>
        <v>2376.7948042727121</v>
      </c>
      <c r="F57" s="450">
        <f>'Book Income Statement'!F76+'Book Income Statement'!F55</f>
        <v>2544.7158336499915</v>
      </c>
      <c r="G57" s="450">
        <f>'Book Income Statement'!G76+'Book Income Statement'!G55</f>
        <v>6803.784976808487</v>
      </c>
      <c r="H57" s="450">
        <f>'Book Income Statement'!H76+'Book Income Statement'!H55</f>
        <v>10251.51759532353</v>
      </c>
      <c r="I57" s="450">
        <f>'Book Income Statement'!I76+'Book Income Statement'!I55</f>
        <v>11058.47877851154</v>
      </c>
      <c r="J57" s="450">
        <f>'Book Income Statement'!J76+'Book Income Statement'!J55</f>
        <v>11235.391929299729</v>
      </c>
      <c r="K57" s="450">
        <f>'Book Income Statement'!K76+'Book Income Statement'!K55</f>
        <v>11705.894129159131</v>
      </c>
      <c r="L57" s="450">
        <f>'Book Income Statement'!L76+'Book Income Statement'!L55</f>
        <v>12172.67021952504</v>
      </c>
      <c r="M57" s="450">
        <f>'Book Income Statement'!M76+'Book Income Statement'!M55</f>
        <v>12773.566498985412</v>
      </c>
      <c r="N57" s="450">
        <f>'Book Income Statement'!N76+'Book Income Statement'!N55</f>
        <v>13508.764341852269</v>
      </c>
      <c r="O57" s="450">
        <f>'Book Income Statement'!O76+'Book Income Statement'!O55</f>
        <v>13830.475823577241</v>
      </c>
      <c r="P57" s="450">
        <f>'Book Income Statement'!P76+'Book Income Statement'!P55</f>
        <v>14178.737951405426</v>
      </c>
      <c r="Q57" s="450">
        <f>'Book Income Statement'!Q76+'Book Income Statement'!Q55</f>
        <v>14495.860902374605</v>
      </c>
      <c r="R57" s="450">
        <f>'Book Income Statement'!R76+'Book Income Statement'!R55</f>
        <v>14831.558911372007</v>
      </c>
      <c r="S57" s="450">
        <f>'Book Income Statement'!S76+'Book Income Statement'!S55</f>
        <v>15160.15320818022</v>
      </c>
      <c r="T57" s="450">
        <f>'Book Income Statement'!T76+'Book Income Statement'!T55</f>
        <v>15481.059724358036</v>
      </c>
      <c r="U57" s="450">
        <f>'Book Income Statement'!U76+'Book Income Statement'!U55</f>
        <v>15928.857424305939</v>
      </c>
      <c r="V57" s="450">
        <f>'Book Income Statement'!V76+'Book Income Statement'!V55</f>
        <v>16456.959819203013</v>
      </c>
      <c r="W57" s="450">
        <f>'Book Income Statement'!W76+'Book Income Statement'!W55</f>
        <v>16593.810591585887</v>
      </c>
      <c r="X57" s="450">
        <f>'Book Income Statement'!X76+'Book Income Statement'!X55</f>
        <v>4937.6963938343351</v>
      </c>
      <c r="Y57" s="450">
        <f>'Book Income Statement'!Y76+'Book Income Statement'!Y55</f>
        <v>0</v>
      </c>
      <c r="Z57" s="450">
        <f>'Book Income Statement'!Z76+'Book Income Statement'!Z55</f>
        <v>0</v>
      </c>
      <c r="AA57" s="450">
        <f>'Book Income Statement'!AA76+'Book Income Statement'!AA55</f>
        <v>0</v>
      </c>
      <c r="AB57" s="451">
        <f>'Book Income Statement'!AB76+'Book Income Statement'!AB55</f>
        <v>0</v>
      </c>
    </row>
    <row r="58" spans="1:30">
      <c r="A58" s="420" t="s">
        <v>415</v>
      </c>
      <c r="B58" s="33"/>
      <c r="C58" s="33"/>
      <c r="D58" s="310">
        <f>D57-D56</f>
        <v>-1236.7400347302696</v>
      </c>
      <c r="E58" s="310">
        <f t="shared" ref="E58:AB58" si="17">E57-E56</f>
        <v>2026.925783257112</v>
      </c>
      <c r="F58" s="310">
        <f t="shared" si="17"/>
        <v>2194.8468126343914</v>
      </c>
      <c r="G58" s="310">
        <f t="shared" si="17"/>
        <v>6453.915955792887</v>
      </c>
      <c r="H58" s="310">
        <f t="shared" si="17"/>
        <v>9901.6485743079302</v>
      </c>
      <c r="I58" s="310">
        <f t="shared" si="17"/>
        <v>8022.1196445225623</v>
      </c>
      <c r="J58" s="310">
        <f t="shared" si="17"/>
        <v>2888.7707213602189</v>
      </c>
      <c r="K58" s="310">
        <f t="shared" si="17"/>
        <v>2898.7319997097347</v>
      </c>
      <c r="L58" s="310">
        <f t="shared" si="17"/>
        <v>2888.7707213602189</v>
      </c>
      <c r="M58" s="310">
        <f t="shared" si="17"/>
        <v>2856.7477171878636</v>
      </c>
      <c r="N58" s="310">
        <f t="shared" si="17"/>
        <v>2888.7707213602207</v>
      </c>
      <c r="O58" s="310">
        <f t="shared" si="17"/>
        <v>2898.7319997097384</v>
      </c>
      <c r="P58" s="310">
        <f t="shared" si="17"/>
        <v>2888.7707213602207</v>
      </c>
      <c r="Q58" s="310">
        <f t="shared" si="17"/>
        <v>2856.7477171878654</v>
      </c>
      <c r="R58" s="310">
        <f t="shared" si="17"/>
        <v>2888.7707213602189</v>
      </c>
      <c r="S58" s="310">
        <f t="shared" si="17"/>
        <v>-49.80639174758835</v>
      </c>
      <c r="T58" s="310">
        <f t="shared" si="17"/>
        <v>-2988.3835048553974</v>
      </c>
      <c r="U58" s="310">
        <f t="shared" si="17"/>
        <v>-3030.3677873772704</v>
      </c>
      <c r="V58" s="310">
        <f t="shared" si="17"/>
        <v>-2988.3835048554029</v>
      </c>
      <c r="W58" s="310">
        <f t="shared" si="17"/>
        <v>-2988.3835048553992</v>
      </c>
      <c r="X58" s="310">
        <f t="shared" si="17"/>
        <v>-2988.3835048553992</v>
      </c>
      <c r="Y58" s="310">
        <f t="shared" si="17"/>
        <v>0</v>
      </c>
      <c r="Z58" s="310">
        <f t="shared" si="17"/>
        <v>0</v>
      </c>
      <c r="AA58" s="310">
        <f t="shared" si="17"/>
        <v>0</v>
      </c>
      <c r="AB58" s="311">
        <f t="shared" si="17"/>
        <v>0</v>
      </c>
    </row>
    <row r="59" spans="1:30">
      <c r="A59" s="420"/>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414"/>
    </row>
    <row r="60" spans="1:30">
      <c r="A60" s="452" t="s">
        <v>416</v>
      </c>
      <c r="B60" s="409"/>
      <c r="C60" s="409"/>
      <c r="D60" s="313">
        <f>D58+C60</f>
        <v>-1236.7400347302696</v>
      </c>
      <c r="E60" s="313">
        <f t="shared" ref="E60:X60" si="18">E58+D60</f>
        <v>790.18574852684242</v>
      </c>
      <c r="F60" s="313">
        <f t="shared" si="18"/>
        <v>2985.0325611612338</v>
      </c>
      <c r="G60" s="313">
        <f t="shared" si="18"/>
        <v>9438.9485169541204</v>
      </c>
      <c r="H60" s="313">
        <f t="shared" si="18"/>
        <v>19340.597091262051</v>
      </c>
      <c r="I60" s="313">
        <f t="shared" si="18"/>
        <v>27362.716735784612</v>
      </c>
      <c r="J60" s="313">
        <f t="shared" si="18"/>
        <v>30251.487457144831</v>
      </c>
      <c r="K60" s="313">
        <f t="shared" si="18"/>
        <v>33150.219456854567</v>
      </c>
      <c r="L60" s="313">
        <f t="shared" si="18"/>
        <v>36038.990178214786</v>
      </c>
      <c r="M60" s="313">
        <f t="shared" si="18"/>
        <v>38895.73789540265</v>
      </c>
      <c r="N60" s="313">
        <f t="shared" si="18"/>
        <v>41784.508616762869</v>
      </c>
      <c r="O60" s="313">
        <f t="shared" si="18"/>
        <v>44683.240616472605</v>
      </c>
      <c r="P60" s="313">
        <f t="shared" si="18"/>
        <v>47572.011337832824</v>
      </c>
      <c r="Q60" s="313">
        <f t="shared" si="18"/>
        <v>50428.759055020688</v>
      </c>
      <c r="R60" s="313">
        <f t="shared" si="18"/>
        <v>53317.529776380907</v>
      </c>
      <c r="S60" s="313">
        <f t="shared" si="18"/>
        <v>53267.723384633318</v>
      </c>
      <c r="T60" s="313">
        <f t="shared" si="18"/>
        <v>50279.339879777923</v>
      </c>
      <c r="U60" s="313">
        <f t="shared" si="18"/>
        <v>47248.972092400654</v>
      </c>
      <c r="V60" s="313">
        <f t="shared" si="18"/>
        <v>44260.588587545251</v>
      </c>
      <c r="W60" s="313">
        <f t="shared" si="18"/>
        <v>41272.205082689848</v>
      </c>
      <c r="X60" s="313">
        <f t="shared" si="18"/>
        <v>38283.821577834446</v>
      </c>
      <c r="Y60" s="409"/>
      <c r="Z60" s="409"/>
      <c r="AA60" s="409"/>
      <c r="AB60" s="410"/>
    </row>
  </sheetData>
  <customSheetViews>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1"/>
      <headerFooter alignWithMargins="0">
        <oddFooter>&amp;L&amp;D   &amp;T&amp;RO:\Naes\GenSvcs\Tva\Tva Models\&amp;F
&amp;A   &amp;P</oddFooter>
      </headerFooter>
    </customSheetView>
    <customSheetView guid="{9D7575BF-255B-11D2-8267-00A0D1027254}" showPageBreaks="1" showRuler="0">
      <colBreaks count="2" manualBreakCount="2">
        <brk id="16" max="48" man="1"/>
        <brk id="32"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topLeftCell="A18" zoomScale="75" zoomScaleNormal="75" zoomScaleSheetLayoutView="85" workbookViewId="0">
      <selection activeCell="D51" sqref="D51"/>
    </sheetView>
  </sheetViews>
  <sheetFormatPr defaultColWidth="9.28515625" defaultRowHeight="11.25" outlineLevelRow="1"/>
  <cols>
    <col min="1" max="1" width="24" style="34" customWidth="1"/>
    <col min="2" max="16384" width="9.28515625" style="34"/>
  </cols>
  <sheetData>
    <row r="1" spans="1:31" s="36" customFormat="1" ht="20.25">
      <c r="A1" s="486" t="str">
        <f>'Project Assumptions'!$A$2</f>
        <v>WILTON CENTER, Will County, IL</v>
      </c>
      <c r="B1" s="488"/>
      <c r="C1" s="619"/>
      <c r="D1" s="620"/>
      <c r="E1" s="401"/>
      <c r="F1" s="401"/>
      <c r="G1" s="401"/>
      <c r="H1" s="401"/>
      <c r="I1" s="401"/>
      <c r="J1" s="401"/>
      <c r="K1" s="401"/>
      <c r="L1" s="401"/>
      <c r="M1" s="401"/>
      <c r="N1" s="401"/>
      <c r="O1" s="401"/>
      <c r="P1" s="401"/>
      <c r="Q1" s="401"/>
      <c r="R1" s="401"/>
      <c r="S1" s="401"/>
      <c r="T1" s="401"/>
      <c r="U1" s="401"/>
      <c r="V1" s="401"/>
      <c r="W1" s="401"/>
      <c r="X1" s="401"/>
      <c r="Y1" s="401"/>
      <c r="Z1" s="401"/>
      <c r="AA1" s="401"/>
      <c r="AB1" s="401"/>
    </row>
    <row r="2" spans="1:31" s="36" customFormat="1" ht="12.75">
      <c r="A2" s="490" t="s">
        <v>41</v>
      </c>
      <c r="B2" s="621"/>
      <c r="C2" s="621"/>
      <c r="D2" s="622"/>
      <c r="E2" s="353"/>
      <c r="F2" s="353"/>
      <c r="G2" s="353"/>
      <c r="H2" s="353"/>
      <c r="I2" s="353"/>
      <c r="J2" s="353"/>
      <c r="K2" s="353"/>
      <c r="L2" s="353"/>
      <c r="M2" s="353"/>
      <c r="N2" s="353"/>
      <c r="O2" s="353"/>
      <c r="P2" s="353"/>
      <c r="Q2" s="353"/>
      <c r="R2" s="353"/>
      <c r="S2" s="353"/>
      <c r="T2" s="353"/>
      <c r="U2" s="353"/>
      <c r="V2" s="353"/>
      <c r="W2" s="353"/>
      <c r="X2" s="353"/>
      <c r="Y2" s="353"/>
      <c r="Z2" s="353"/>
      <c r="AA2" s="353"/>
      <c r="AB2" s="353"/>
    </row>
    <row r="3" spans="1:31" ht="15.6" customHeight="1"/>
    <row r="4" spans="1:31">
      <c r="D4" s="36">
        <v>1</v>
      </c>
      <c r="E4" s="36">
        <f>D4+1</f>
        <v>2</v>
      </c>
      <c r="F4" s="36">
        <f t="shared" ref="F4:AB4" si="0">E4+1</f>
        <v>3</v>
      </c>
      <c r="G4" s="36">
        <f t="shared" si="0"/>
        <v>4</v>
      </c>
      <c r="H4" s="36">
        <f t="shared" si="0"/>
        <v>5</v>
      </c>
      <c r="I4" s="623">
        <f t="shared" si="0"/>
        <v>6</v>
      </c>
      <c r="J4" s="36">
        <f t="shared" si="0"/>
        <v>7</v>
      </c>
      <c r="K4" s="35">
        <f t="shared" si="0"/>
        <v>8</v>
      </c>
      <c r="L4" s="36">
        <f t="shared" si="0"/>
        <v>9</v>
      </c>
      <c r="M4" s="36">
        <f t="shared" si="0"/>
        <v>10</v>
      </c>
      <c r="N4" s="36">
        <f t="shared" si="0"/>
        <v>11</v>
      </c>
      <c r="O4" s="36">
        <f t="shared" si="0"/>
        <v>12</v>
      </c>
      <c r="P4" s="36">
        <f t="shared" si="0"/>
        <v>13</v>
      </c>
      <c r="Q4" s="35">
        <f t="shared" si="0"/>
        <v>14</v>
      </c>
      <c r="R4" s="36">
        <f t="shared" si="0"/>
        <v>15</v>
      </c>
      <c r="S4" s="36">
        <f t="shared" si="0"/>
        <v>16</v>
      </c>
      <c r="T4" s="36">
        <f t="shared" si="0"/>
        <v>17</v>
      </c>
      <c r="U4" s="36">
        <f t="shared" si="0"/>
        <v>18</v>
      </c>
      <c r="V4" s="36">
        <f t="shared" si="0"/>
        <v>19</v>
      </c>
      <c r="W4" s="35">
        <f t="shared" si="0"/>
        <v>20</v>
      </c>
      <c r="X4" s="36">
        <f t="shared" si="0"/>
        <v>21</v>
      </c>
      <c r="Y4" s="36">
        <f t="shared" si="0"/>
        <v>22</v>
      </c>
      <c r="Z4" s="36">
        <f t="shared" si="0"/>
        <v>23</v>
      </c>
      <c r="AA4" s="36">
        <f t="shared" si="0"/>
        <v>24</v>
      </c>
      <c r="AB4" s="36">
        <f t="shared" si="0"/>
        <v>25</v>
      </c>
    </row>
    <row r="5" spans="1:31" ht="12" customHeight="1">
      <c r="A5" s="624" t="s">
        <v>243</v>
      </c>
      <c r="B5" s="437"/>
      <c r="C5" s="625"/>
      <c r="D5" s="504">
        <f>YEAR('Project Assumptions'!G16)</f>
        <v>2000</v>
      </c>
      <c r="E5" s="504">
        <f>D5+1</f>
        <v>2001</v>
      </c>
      <c r="F5" s="504">
        <f t="shared" ref="F5:AB5" si="1">E5+1</f>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626"/>
      <c r="AD5" s="626"/>
    </row>
    <row r="6" spans="1:31" ht="12" customHeight="1">
      <c r="A6" s="420"/>
      <c r="B6" s="506" t="s">
        <v>0</v>
      </c>
      <c r="C6" s="33"/>
      <c r="D6" s="627"/>
      <c r="E6" s="628"/>
      <c r="F6" s="628"/>
      <c r="G6" s="628"/>
      <c r="H6" s="628"/>
      <c r="I6" s="628"/>
      <c r="J6" s="628"/>
      <c r="K6" s="628"/>
      <c r="L6" s="628"/>
      <c r="M6" s="628"/>
      <c r="N6" s="628"/>
      <c r="O6" s="628"/>
      <c r="P6" s="628"/>
      <c r="Q6" s="628"/>
      <c r="R6" s="628"/>
      <c r="S6" s="33"/>
      <c r="T6" s="33"/>
      <c r="U6" s="33"/>
      <c r="V6" s="33"/>
      <c r="W6" s="33"/>
      <c r="X6" s="33"/>
      <c r="Y6" s="33"/>
      <c r="Z6" s="33"/>
      <c r="AA6" s="33"/>
      <c r="AB6" s="414"/>
      <c r="AE6" s="629"/>
    </row>
    <row r="7" spans="1:31" ht="12" customHeight="1">
      <c r="A7" s="188" t="s">
        <v>251</v>
      </c>
      <c r="B7" s="630">
        <v>15</v>
      </c>
      <c r="C7" s="44"/>
      <c r="D7" s="631">
        <f t="shared" ref="D7:AB7" si="2">IF(D4&gt;$B$7+1,0,IF($B$7=15,VLOOKUP(D4,$A$57:$B$72,2),VLOOKUP(D4,$A$77:$B$97,2)))</f>
        <v>0.05</v>
      </c>
      <c r="E7" s="631">
        <f t="shared" si="2"/>
        <v>9.5000000000000001E-2</v>
      </c>
      <c r="F7" s="631">
        <f t="shared" si="2"/>
        <v>8.5500000000000007E-2</v>
      </c>
      <c r="G7" s="631">
        <f t="shared" si="2"/>
        <v>7.6999999999999999E-2</v>
      </c>
      <c r="H7" s="631">
        <f t="shared" si="2"/>
        <v>6.93E-2</v>
      </c>
      <c r="I7" s="631">
        <f t="shared" si="2"/>
        <v>6.2300000000000001E-2</v>
      </c>
      <c r="J7" s="631">
        <f t="shared" si="2"/>
        <v>5.8999999999999997E-2</v>
      </c>
      <c r="K7" s="631">
        <f t="shared" si="2"/>
        <v>5.91E-2</v>
      </c>
      <c r="L7" s="631">
        <f t="shared" si="2"/>
        <v>5.8999999999999997E-2</v>
      </c>
      <c r="M7" s="631">
        <f t="shared" si="2"/>
        <v>5.91E-2</v>
      </c>
      <c r="N7" s="631">
        <f t="shared" si="2"/>
        <v>5.8999999999999997E-2</v>
      </c>
      <c r="O7" s="631">
        <f t="shared" si="2"/>
        <v>5.91E-2</v>
      </c>
      <c r="P7" s="631">
        <f t="shared" si="2"/>
        <v>5.8999999999999997E-2</v>
      </c>
      <c r="Q7" s="631">
        <f t="shared" si="2"/>
        <v>5.91E-2</v>
      </c>
      <c r="R7" s="631">
        <f t="shared" si="2"/>
        <v>5.8999999999999997E-2</v>
      </c>
      <c r="S7" s="631">
        <f t="shared" si="2"/>
        <v>2.9499999999999998E-2</v>
      </c>
      <c r="T7" s="631">
        <f t="shared" si="2"/>
        <v>0</v>
      </c>
      <c r="U7" s="631">
        <f t="shared" si="2"/>
        <v>0</v>
      </c>
      <c r="V7" s="631">
        <f t="shared" si="2"/>
        <v>0</v>
      </c>
      <c r="W7" s="631">
        <f t="shared" si="2"/>
        <v>0</v>
      </c>
      <c r="X7" s="631">
        <f t="shared" si="2"/>
        <v>0</v>
      </c>
      <c r="Y7" s="631">
        <f t="shared" si="2"/>
        <v>0</v>
      </c>
      <c r="Z7" s="631">
        <f t="shared" si="2"/>
        <v>0</v>
      </c>
      <c r="AA7" s="631">
        <f t="shared" si="2"/>
        <v>0</v>
      </c>
      <c r="AB7" s="632">
        <f t="shared" si="2"/>
        <v>0</v>
      </c>
      <c r="AC7" s="633"/>
      <c r="AD7" s="633"/>
      <c r="AE7" s="634"/>
    </row>
    <row r="8" spans="1:31" ht="12" customHeight="1">
      <c r="A8" s="188" t="s">
        <v>245</v>
      </c>
      <c r="B8" s="630">
        <v>5</v>
      </c>
      <c r="C8" s="635"/>
      <c r="D8" s="631">
        <f>IF(D4&gt;$B$8,0,1/$B$8)*'Book Income Statement'!D$7/12</f>
        <v>0.11666666666666668</v>
      </c>
      <c r="E8" s="631">
        <f>IF(E$4&lt;=$B8,(1/$B8),IF(E$4=$B8+1,(1/$B8)-$D8,0))</f>
        <v>0.2</v>
      </c>
      <c r="F8" s="631">
        <f t="shared" ref="F8:AB8" si="3">IF(F4&lt;=$B$8,(1/$B$8),IF(F4=$B$8+1,(1/$B$8)-$D$8,0))</f>
        <v>0.2</v>
      </c>
      <c r="G8" s="631">
        <f t="shared" si="3"/>
        <v>0.2</v>
      </c>
      <c r="H8" s="631">
        <f t="shared" si="3"/>
        <v>0.2</v>
      </c>
      <c r="I8" s="631">
        <f t="shared" si="3"/>
        <v>8.3333333333333329E-2</v>
      </c>
      <c r="J8" s="631">
        <f t="shared" si="3"/>
        <v>0</v>
      </c>
      <c r="K8" s="631">
        <f t="shared" si="3"/>
        <v>0</v>
      </c>
      <c r="L8" s="631">
        <f t="shared" si="3"/>
        <v>0</v>
      </c>
      <c r="M8" s="631">
        <f t="shared" si="3"/>
        <v>0</v>
      </c>
      <c r="N8" s="631">
        <f t="shared" si="3"/>
        <v>0</v>
      </c>
      <c r="O8" s="631">
        <f t="shared" si="3"/>
        <v>0</v>
      </c>
      <c r="P8" s="631">
        <f t="shared" si="3"/>
        <v>0</v>
      </c>
      <c r="Q8" s="631">
        <f t="shared" si="3"/>
        <v>0</v>
      </c>
      <c r="R8" s="631">
        <f t="shared" si="3"/>
        <v>0</v>
      </c>
      <c r="S8" s="631">
        <f t="shared" si="3"/>
        <v>0</v>
      </c>
      <c r="T8" s="631">
        <f t="shared" si="3"/>
        <v>0</v>
      </c>
      <c r="U8" s="631">
        <f t="shared" si="3"/>
        <v>0</v>
      </c>
      <c r="V8" s="631">
        <f t="shared" si="3"/>
        <v>0</v>
      </c>
      <c r="W8" s="631">
        <f t="shared" si="3"/>
        <v>0</v>
      </c>
      <c r="X8" s="631">
        <f t="shared" si="3"/>
        <v>0</v>
      </c>
      <c r="Y8" s="631">
        <f t="shared" si="3"/>
        <v>0</v>
      </c>
      <c r="Z8" s="631">
        <f t="shared" si="3"/>
        <v>0</v>
      </c>
      <c r="AA8" s="631">
        <f t="shared" si="3"/>
        <v>0</v>
      </c>
      <c r="AB8" s="632">
        <f t="shared" si="3"/>
        <v>0</v>
      </c>
      <c r="AC8" s="633"/>
      <c r="AD8" s="633"/>
      <c r="AE8" s="634"/>
    </row>
    <row r="9" spans="1:31" ht="12" customHeight="1">
      <c r="A9" s="188" t="s">
        <v>96</v>
      </c>
      <c r="B9" s="635">
        <f>MAX('Project Assumptions'!$F$39, 'Project Assumptions'!$G$39,'Project Assumptions'!$H$39)</f>
        <v>20</v>
      </c>
      <c r="C9" s="636"/>
      <c r="D9" s="631">
        <f>IF(D4&gt;$B$9,0,(1/$B$9))*'Book Income Statement'!D$7/12</f>
        <v>2.9166666666666671E-2</v>
      </c>
      <c r="E9" s="631">
        <f>IF(E$4&lt;=$B$9,(1/$B$9),IF(E$4=$B$9+1,(1/$B$9)-$D$9,0))</f>
        <v>0.05</v>
      </c>
      <c r="F9" s="631">
        <f t="shared" ref="F9:AB9" si="4">IF(F$4&lt;=$B$9,(1/$B$9),IF(F$4=$B$9+1,(1/$B$9)-$D$9,0))</f>
        <v>0.05</v>
      </c>
      <c r="G9" s="631">
        <f t="shared" si="4"/>
        <v>0.05</v>
      </c>
      <c r="H9" s="631">
        <f t="shared" si="4"/>
        <v>0.05</v>
      </c>
      <c r="I9" s="631">
        <f t="shared" si="4"/>
        <v>0.05</v>
      </c>
      <c r="J9" s="631">
        <f t="shared" si="4"/>
        <v>0.05</v>
      </c>
      <c r="K9" s="631">
        <f t="shared" si="4"/>
        <v>0.05</v>
      </c>
      <c r="L9" s="631">
        <f t="shared" si="4"/>
        <v>0.05</v>
      </c>
      <c r="M9" s="631">
        <f t="shared" si="4"/>
        <v>0.05</v>
      </c>
      <c r="N9" s="631">
        <f t="shared" si="4"/>
        <v>0.05</v>
      </c>
      <c r="O9" s="631">
        <f t="shared" si="4"/>
        <v>0.05</v>
      </c>
      <c r="P9" s="631">
        <f t="shared" si="4"/>
        <v>0.05</v>
      </c>
      <c r="Q9" s="631">
        <f t="shared" si="4"/>
        <v>0.05</v>
      </c>
      <c r="R9" s="631">
        <f t="shared" si="4"/>
        <v>0.05</v>
      </c>
      <c r="S9" s="631">
        <f t="shared" si="4"/>
        <v>0.05</v>
      </c>
      <c r="T9" s="631">
        <f t="shared" si="4"/>
        <v>0.05</v>
      </c>
      <c r="U9" s="631">
        <f t="shared" si="4"/>
        <v>0.05</v>
      </c>
      <c r="V9" s="631">
        <f t="shared" si="4"/>
        <v>0.05</v>
      </c>
      <c r="W9" s="631">
        <f t="shared" si="4"/>
        <v>0.05</v>
      </c>
      <c r="X9" s="631">
        <f t="shared" si="4"/>
        <v>2.0833333333333332E-2</v>
      </c>
      <c r="Y9" s="631">
        <f t="shared" si="4"/>
        <v>0</v>
      </c>
      <c r="Z9" s="631">
        <f t="shared" si="4"/>
        <v>0</v>
      </c>
      <c r="AA9" s="631">
        <f t="shared" si="4"/>
        <v>0</v>
      </c>
      <c r="AB9" s="632">
        <f t="shared" si="4"/>
        <v>0</v>
      </c>
      <c r="AC9" s="633"/>
      <c r="AD9" s="633"/>
      <c r="AE9" s="634"/>
    </row>
    <row r="10" spans="1:31" ht="12" customHeight="1">
      <c r="A10" s="420"/>
      <c r="B10" s="635"/>
      <c r="C10" s="33"/>
      <c r="D10" s="628"/>
      <c r="E10" s="33"/>
      <c r="F10" s="33"/>
      <c r="G10" s="33"/>
      <c r="H10" s="33"/>
      <c r="I10" s="33"/>
      <c r="J10" s="33"/>
      <c r="K10" s="33"/>
      <c r="L10" s="33"/>
      <c r="M10" s="33"/>
      <c r="N10" s="33"/>
      <c r="O10" s="33"/>
      <c r="P10" s="33"/>
      <c r="Q10" s="33"/>
      <c r="R10" s="33"/>
      <c r="S10" s="33"/>
      <c r="T10" s="33"/>
      <c r="U10" s="33"/>
      <c r="V10" s="33"/>
      <c r="W10" s="33"/>
      <c r="X10" s="33"/>
      <c r="Y10" s="33"/>
      <c r="Z10" s="33"/>
      <c r="AA10" s="33"/>
      <c r="AB10" s="414"/>
    </row>
    <row r="11" spans="1:31" ht="12" customHeight="1">
      <c r="A11" s="188" t="s">
        <v>252</v>
      </c>
      <c r="B11" s="425">
        <f>'Project Assumptions'!C30-'Project Assumptions'!C25+'Project Assumptions'!C53+'Project Assumptions'!C57+'Project Assumptions'!C33</f>
        <v>251122.554</v>
      </c>
      <c r="C11" s="44"/>
      <c r="D11" s="425">
        <f>$B$11*D7</f>
        <v>12556.127700000001</v>
      </c>
      <c r="E11" s="425">
        <f t="shared" ref="E11:AB11" si="5">$B$11*E7</f>
        <v>23856.642630000002</v>
      </c>
      <c r="F11" s="425">
        <f t="shared" si="5"/>
        <v>21470.978367000003</v>
      </c>
      <c r="G11" s="425">
        <f t="shared" si="5"/>
        <v>19336.436657999999</v>
      </c>
      <c r="H11" s="425">
        <f t="shared" si="5"/>
        <v>17402.7929922</v>
      </c>
      <c r="I11" s="425">
        <f t="shared" si="5"/>
        <v>15644.935114200001</v>
      </c>
      <c r="J11" s="425">
        <f t="shared" si="5"/>
        <v>14816.230685999999</v>
      </c>
      <c r="K11" s="425">
        <f t="shared" si="5"/>
        <v>14841.3429414</v>
      </c>
      <c r="L11" s="425">
        <f t="shared" si="5"/>
        <v>14816.230685999999</v>
      </c>
      <c r="M11" s="425">
        <f t="shared" si="5"/>
        <v>14841.3429414</v>
      </c>
      <c r="N11" s="425">
        <f t="shared" si="5"/>
        <v>14816.230685999999</v>
      </c>
      <c r="O11" s="425">
        <f t="shared" si="5"/>
        <v>14841.3429414</v>
      </c>
      <c r="P11" s="425">
        <f t="shared" si="5"/>
        <v>14816.230685999999</v>
      </c>
      <c r="Q11" s="425">
        <f t="shared" si="5"/>
        <v>14841.3429414</v>
      </c>
      <c r="R11" s="425">
        <f t="shared" si="5"/>
        <v>14816.230685999999</v>
      </c>
      <c r="S11" s="425">
        <f t="shared" si="5"/>
        <v>7408.1153429999995</v>
      </c>
      <c r="T11" s="425">
        <f t="shared" si="5"/>
        <v>0</v>
      </c>
      <c r="U11" s="425">
        <f t="shared" si="5"/>
        <v>0</v>
      </c>
      <c r="V11" s="425">
        <f t="shared" si="5"/>
        <v>0</v>
      </c>
      <c r="W11" s="425">
        <f t="shared" si="5"/>
        <v>0</v>
      </c>
      <c r="X11" s="425">
        <f t="shared" si="5"/>
        <v>0</v>
      </c>
      <c r="Y11" s="425">
        <f t="shared" si="5"/>
        <v>0</v>
      </c>
      <c r="Z11" s="425">
        <f t="shared" si="5"/>
        <v>0</v>
      </c>
      <c r="AA11" s="425">
        <f t="shared" si="5"/>
        <v>0</v>
      </c>
      <c r="AB11" s="637">
        <f t="shared" si="5"/>
        <v>0</v>
      </c>
      <c r="AC11" s="638"/>
      <c r="AD11" s="638"/>
      <c r="AE11" s="638"/>
    </row>
    <row r="12" spans="1:31" ht="12" customHeight="1">
      <c r="A12" s="188" t="s">
        <v>246</v>
      </c>
      <c r="B12" s="47">
        <f>'Project Assumptions'!C42-'Project Assumptions'!C33-'Project Assumptions'!C40-'Project Assumptions'!C37</f>
        <v>1543.991</v>
      </c>
      <c r="C12" s="44"/>
      <c r="D12" s="47">
        <f>$B$12*D8</f>
        <v>180.13228333333336</v>
      </c>
      <c r="E12" s="47">
        <f t="shared" ref="E12:AB12" si="6">$B$12*E8</f>
        <v>308.79820000000001</v>
      </c>
      <c r="F12" s="47">
        <f t="shared" si="6"/>
        <v>308.79820000000001</v>
      </c>
      <c r="G12" s="47">
        <f t="shared" si="6"/>
        <v>308.79820000000001</v>
      </c>
      <c r="H12" s="47">
        <f t="shared" si="6"/>
        <v>308.79820000000001</v>
      </c>
      <c r="I12" s="47">
        <f t="shared" si="6"/>
        <v>128.66591666666665</v>
      </c>
      <c r="J12" s="47">
        <f t="shared" si="6"/>
        <v>0</v>
      </c>
      <c r="K12" s="47">
        <f t="shared" si="6"/>
        <v>0</v>
      </c>
      <c r="L12" s="47">
        <f t="shared" si="6"/>
        <v>0</v>
      </c>
      <c r="M12" s="47">
        <f t="shared" si="6"/>
        <v>0</v>
      </c>
      <c r="N12" s="47">
        <f t="shared" si="6"/>
        <v>0</v>
      </c>
      <c r="O12" s="47">
        <f t="shared" si="6"/>
        <v>0</v>
      </c>
      <c r="P12" s="47">
        <f t="shared" si="6"/>
        <v>0</v>
      </c>
      <c r="Q12" s="47">
        <f t="shared" si="6"/>
        <v>0</v>
      </c>
      <c r="R12" s="47">
        <f t="shared" si="6"/>
        <v>0</v>
      </c>
      <c r="S12" s="47">
        <f t="shared" si="6"/>
        <v>0</v>
      </c>
      <c r="T12" s="47">
        <f t="shared" si="6"/>
        <v>0</v>
      </c>
      <c r="U12" s="47">
        <f t="shared" si="6"/>
        <v>0</v>
      </c>
      <c r="V12" s="47">
        <f t="shared" si="6"/>
        <v>0</v>
      </c>
      <c r="W12" s="47">
        <f t="shared" si="6"/>
        <v>0</v>
      </c>
      <c r="X12" s="47">
        <f t="shared" si="6"/>
        <v>0</v>
      </c>
      <c r="Y12" s="47">
        <f t="shared" si="6"/>
        <v>0</v>
      </c>
      <c r="Z12" s="47">
        <f t="shared" si="6"/>
        <v>0</v>
      </c>
      <c r="AA12" s="47">
        <f t="shared" si="6"/>
        <v>0</v>
      </c>
      <c r="AB12" s="433">
        <f t="shared" si="6"/>
        <v>0</v>
      </c>
      <c r="AC12" s="638"/>
      <c r="AD12" s="638"/>
      <c r="AE12" s="478"/>
    </row>
    <row r="13" spans="1:31" ht="12" customHeight="1">
      <c r="A13" s="188" t="s">
        <v>247</v>
      </c>
      <c r="B13" s="47">
        <f>'Project Assumptions'!C45+'Project Assumptions'!C46+'Project Assumptions'!C47</f>
        <v>0</v>
      </c>
      <c r="C13" s="44"/>
      <c r="D13" s="47">
        <f>$B$13*D9</f>
        <v>0</v>
      </c>
      <c r="E13" s="47">
        <f>$B$13*E9</f>
        <v>0</v>
      </c>
      <c r="F13" s="47">
        <f t="shared" ref="F13:AB13" si="7">$B$13*F9</f>
        <v>0</v>
      </c>
      <c r="G13" s="47">
        <f t="shared" si="7"/>
        <v>0</v>
      </c>
      <c r="H13" s="47">
        <f t="shared" si="7"/>
        <v>0</v>
      </c>
      <c r="I13" s="47">
        <f t="shared" si="7"/>
        <v>0</v>
      </c>
      <c r="J13" s="47">
        <f t="shared" si="7"/>
        <v>0</v>
      </c>
      <c r="K13" s="47">
        <f t="shared" si="7"/>
        <v>0</v>
      </c>
      <c r="L13" s="47">
        <f t="shared" si="7"/>
        <v>0</v>
      </c>
      <c r="M13" s="47">
        <f t="shared" si="7"/>
        <v>0</v>
      </c>
      <c r="N13" s="47">
        <f t="shared" si="7"/>
        <v>0</v>
      </c>
      <c r="O13" s="47">
        <f t="shared" si="7"/>
        <v>0</v>
      </c>
      <c r="P13" s="47">
        <f t="shared" si="7"/>
        <v>0</v>
      </c>
      <c r="Q13" s="47">
        <f t="shared" si="7"/>
        <v>0</v>
      </c>
      <c r="R13" s="47">
        <f t="shared" si="7"/>
        <v>0</v>
      </c>
      <c r="S13" s="47">
        <f t="shared" si="7"/>
        <v>0</v>
      </c>
      <c r="T13" s="47">
        <f t="shared" si="7"/>
        <v>0</v>
      </c>
      <c r="U13" s="47">
        <f t="shared" si="7"/>
        <v>0</v>
      </c>
      <c r="V13" s="47">
        <f t="shared" si="7"/>
        <v>0</v>
      </c>
      <c r="W13" s="47">
        <f t="shared" si="7"/>
        <v>0</v>
      </c>
      <c r="X13" s="47">
        <f t="shared" si="7"/>
        <v>0</v>
      </c>
      <c r="Y13" s="47">
        <f t="shared" si="7"/>
        <v>0</v>
      </c>
      <c r="Z13" s="47">
        <f t="shared" si="7"/>
        <v>0</v>
      </c>
      <c r="AA13" s="47">
        <f t="shared" si="7"/>
        <v>0</v>
      </c>
      <c r="AB13" s="433">
        <f t="shared" si="7"/>
        <v>0</v>
      </c>
      <c r="AC13" s="638"/>
      <c r="AD13" s="638"/>
      <c r="AE13" s="478"/>
    </row>
    <row r="14" spans="1:31" ht="12" customHeight="1">
      <c r="A14" s="188" t="s">
        <v>448</v>
      </c>
      <c r="B14" s="481">
        <v>0</v>
      </c>
      <c r="C14" s="44"/>
      <c r="D14" s="481">
        <f>B14</f>
        <v>0</v>
      </c>
      <c r="E14" s="639">
        <v>0</v>
      </c>
      <c r="F14" s="639">
        <v>0</v>
      </c>
      <c r="G14" s="639">
        <v>0</v>
      </c>
      <c r="H14" s="639">
        <v>0</v>
      </c>
      <c r="I14" s="639">
        <v>0</v>
      </c>
      <c r="J14" s="639">
        <v>0</v>
      </c>
      <c r="K14" s="639">
        <v>0</v>
      </c>
      <c r="L14" s="639">
        <v>0</v>
      </c>
      <c r="M14" s="639">
        <v>0</v>
      </c>
      <c r="N14" s="639">
        <v>0</v>
      </c>
      <c r="O14" s="639">
        <v>0</v>
      </c>
      <c r="P14" s="639">
        <v>0</v>
      </c>
      <c r="Q14" s="639">
        <v>0</v>
      </c>
      <c r="R14" s="639">
        <v>0</v>
      </c>
      <c r="S14" s="639">
        <v>0</v>
      </c>
      <c r="T14" s="639">
        <v>0</v>
      </c>
      <c r="U14" s="639">
        <v>0</v>
      </c>
      <c r="V14" s="639">
        <v>0</v>
      </c>
      <c r="W14" s="639">
        <v>0</v>
      </c>
      <c r="X14" s="639">
        <v>0</v>
      </c>
      <c r="Y14" s="639">
        <v>0</v>
      </c>
      <c r="Z14" s="639">
        <v>0</v>
      </c>
      <c r="AA14" s="639">
        <v>0</v>
      </c>
      <c r="AB14" s="640">
        <v>0</v>
      </c>
      <c r="AC14" s="638"/>
      <c r="AD14" s="638"/>
      <c r="AE14" s="478"/>
    </row>
    <row r="15" spans="1:31" ht="12" customHeight="1">
      <c r="A15" s="641" t="s">
        <v>248</v>
      </c>
      <c r="B15" s="518">
        <f>SUM(B11:B14)</f>
        <v>252666.54500000001</v>
      </c>
      <c r="C15" s="642"/>
      <c r="D15" s="518">
        <f>SUM(D11:D14)</f>
        <v>12736.259983333333</v>
      </c>
      <c r="E15" s="518">
        <f>SUM(E11:E14)</f>
        <v>24165.440830000003</v>
      </c>
      <c r="F15" s="518">
        <f t="shared" ref="F15:AB15" si="8">SUM(F11:F14)</f>
        <v>21779.776567000004</v>
      </c>
      <c r="G15" s="518">
        <f t="shared" si="8"/>
        <v>19645.234858</v>
      </c>
      <c r="H15" s="518">
        <f t="shared" si="8"/>
        <v>17711.591192200001</v>
      </c>
      <c r="I15" s="518">
        <f t="shared" si="8"/>
        <v>15773.601030866668</v>
      </c>
      <c r="J15" s="518">
        <f t="shared" si="8"/>
        <v>14816.230685999999</v>
      </c>
      <c r="K15" s="518">
        <f t="shared" si="8"/>
        <v>14841.3429414</v>
      </c>
      <c r="L15" s="518">
        <f t="shared" si="8"/>
        <v>14816.230685999999</v>
      </c>
      <c r="M15" s="518">
        <f t="shared" si="8"/>
        <v>14841.3429414</v>
      </c>
      <c r="N15" s="518">
        <f t="shared" si="8"/>
        <v>14816.230685999999</v>
      </c>
      <c r="O15" s="518">
        <f t="shared" si="8"/>
        <v>14841.3429414</v>
      </c>
      <c r="P15" s="518">
        <f t="shared" si="8"/>
        <v>14816.230685999999</v>
      </c>
      <c r="Q15" s="518">
        <f t="shared" si="8"/>
        <v>14841.3429414</v>
      </c>
      <c r="R15" s="518">
        <f t="shared" si="8"/>
        <v>14816.230685999999</v>
      </c>
      <c r="S15" s="518">
        <f t="shared" si="8"/>
        <v>7408.1153429999995</v>
      </c>
      <c r="T15" s="518">
        <f t="shared" si="8"/>
        <v>0</v>
      </c>
      <c r="U15" s="518">
        <f t="shared" si="8"/>
        <v>0</v>
      </c>
      <c r="V15" s="518">
        <f t="shared" si="8"/>
        <v>0</v>
      </c>
      <c r="W15" s="518">
        <f t="shared" si="8"/>
        <v>0</v>
      </c>
      <c r="X15" s="518">
        <f t="shared" si="8"/>
        <v>0</v>
      </c>
      <c r="Y15" s="518">
        <f t="shared" si="8"/>
        <v>0</v>
      </c>
      <c r="Z15" s="518">
        <f t="shared" si="8"/>
        <v>0</v>
      </c>
      <c r="AA15" s="518">
        <f t="shared" si="8"/>
        <v>0</v>
      </c>
      <c r="AB15" s="643">
        <f t="shared" si="8"/>
        <v>0</v>
      </c>
      <c r="AC15" s="638"/>
      <c r="AD15" s="638"/>
      <c r="AE15" s="638"/>
    </row>
    <row r="16" spans="1:31" ht="12" customHeight="1">
      <c r="A16" s="41"/>
      <c r="B16" s="638"/>
      <c r="C16" s="638"/>
      <c r="D16" s="638"/>
      <c r="E16" s="638"/>
      <c r="F16" s="638"/>
      <c r="G16" s="638"/>
      <c r="H16" s="638"/>
      <c r="I16" s="638"/>
      <c r="J16" s="638"/>
      <c r="K16" s="638"/>
      <c r="L16" s="638"/>
      <c r="M16" s="638"/>
      <c r="N16" s="638"/>
      <c r="O16" s="638"/>
      <c r="P16" s="638"/>
      <c r="Q16" s="638"/>
      <c r="R16" s="638"/>
      <c r="S16" s="638"/>
      <c r="T16" s="638"/>
      <c r="U16" s="638"/>
      <c r="V16" s="638"/>
      <c r="W16" s="638"/>
      <c r="X16" s="638"/>
      <c r="Y16" s="638"/>
      <c r="Z16" s="638"/>
      <c r="AA16" s="638"/>
      <c r="AB16" s="638"/>
      <c r="AC16" s="638"/>
      <c r="AD16" s="638"/>
      <c r="AE16" s="478"/>
    </row>
    <row r="17" spans="1:31" ht="12" customHeight="1">
      <c r="A17" s="624" t="s">
        <v>244</v>
      </c>
      <c r="B17" s="437"/>
      <c r="C17" s="437"/>
      <c r="D17" s="437"/>
      <c r="E17" s="437"/>
      <c r="F17" s="437"/>
      <c r="G17" s="437"/>
      <c r="H17" s="437"/>
      <c r="I17" s="437"/>
      <c r="J17" s="437"/>
      <c r="K17" s="437"/>
      <c r="L17" s="437"/>
      <c r="M17" s="437"/>
      <c r="N17" s="437"/>
      <c r="O17" s="437"/>
      <c r="P17" s="437"/>
      <c r="Q17" s="437"/>
      <c r="R17" s="437"/>
      <c r="S17" s="437"/>
      <c r="T17" s="437"/>
      <c r="U17" s="437"/>
      <c r="V17" s="437"/>
      <c r="W17" s="437"/>
      <c r="X17" s="437"/>
      <c r="Y17" s="437"/>
      <c r="Z17" s="437"/>
      <c r="AA17" s="437"/>
      <c r="AB17" s="408"/>
      <c r="AE17" s="629"/>
    </row>
    <row r="18" spans="1:31" ht="12" customHeight="1">
      <c r="A18" s="644"/>
      <c r="B18" s="506" t="s">
        <v>0</v>
      </c>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414"/>
      <c r="AE18" s="629"/>
    </row>
    <row r="19" spans="1:31" ht="12" customHeight="1">
      <c r="A19" s="188" t="s">
        <v>251</v>
      </c>
      <c r="B19" s="630">
        <f>B7</f>
        <v>15</v>
      </c>
      <c r="C19" s="645"/>
      <c r="D19" s="631">
        <f t="shared" ref="D19:AB19" si="9">IF(D4&gt;$B$19+1,0,IF($B$19=15,VLOOKUP(D4,$A$57:$B$72,2),VLOOKUP(D4,$A$77:$B$97,2)))</f>
        <v>0.05</v>
      </c>
      <c r="E19" s="631">
        <f t="shared" si="9"/>
        <v>9.5000000000000001E-2</v>
      </c>
      <c r="F19" s="631">
        <f t="shared" si="9"/>
        <v>8.5500000000000007E-2</v>
      </c>
      <c r="G19" s="631">
        <f t="shared" si="9"/>
        <v>7.6999999999999999E-2</v>
      </c>
      <c r="H19" s="631">
        <f t="shared" si="9"/>
        <v>6.93E-2</v>
      </c>
      <c r="I19" s="631">
        <f t="shared" si="9"/>
        <v>6.2300000000000001E-2</v>
      </c>
      <c r="J19" s="631">
        <f t="shared" si="9"/>
        <v>5.8999999999999997E-2</v>
      </c>
      <c r="K19" s="631">
        <f t="shared" si="9"/>
        <v>5.91E-2</v>
      </c>
      <c r="L19" s="631">
        <f t="shared" si="9"/>
        <v>5.8999999999999997E-2</v>
      </c>
      <c r="M19" s="631">
        <f t="shared" si="9"/>
        <v>5.91E-2</v>
      </c>
      <c r="N19" s="631">
        <f t="shared" si="9"/>
        <v>5.8999999999999997E-2</v>
      </c>
      <c r="O19" s="631">
        <f t="shared" si="9"/>
        <v>5.91E-2</v>
      </c>
      <c r="P19" s="631">
        <f t="shared" si="9"/>
        <v>5.8999999999999997E-2</v>
      </c>
      <c r="Q19" s="631">
        <f t="shared" si="9"/>
        <v>5.91E-2</v>
      </c>
      <c r="R19" s="631">
        <f t="shared" si="9"/>
        <v>5.8999999999999997E-2</v>
      </c>
      <c r="S19" s="631">
        <f t="shared" si="9"/>
        <v>2.9499999999999998E-2</v>
      </c>
      <c r="T19" s="631">
        <f t="shared" si="9"/>
        <v>0</v>
      </c>
      <c r="U19" s="631">
        <f t="shared" si="9"/>
        <v>0</v>
      </c>
      <c r="V19" s="631">
        <f t="shared" si="9"/>
        <v>0</v>
      </c>
      <c r="W19" s="631">
        <f t="shared" si="9"/>
        <v>0</v>
      </c>
      <c r="X19" s="631">
        <f t="shared" si="9"/>
        <v>0</v>
      </c>
      <c r="Y19" s="631">
        <f t="shared" si="9"/>
        <v>0</v>
      </c>
      <c r="Z19" s="631">
        <f t="shared" si="9"/>
        <v>0</v>
      </c>
      <c r="AA19" s="631">
        <f t="shared" si="9"/>
        <v>0</v>
      </c>
      <c r="AB19" s="632">
        <f t="shared" si="9"/>
        <v>0</v>
      </c>
      <c r="AC19" s="633"/>
      <c r="AD19" s="633"/>
      <c r="AE19" s="634"/>
    </row>
    <row r="20" spans="1:31" ht="12" customHeight="1">
      <c r="A20" s="188" t="s">
        <v>245</v>
      </c>
      <c r="B20" s="630">
        <v>5</v>
      </c>
      <c r="C20" s="33"/>
      <c r="D20" s="631">
        <f>IF(D16&gt;$B$20,0,1/$B$20)*'Book Income Statement'!D$7/12</f>
        <v>0.11666666666666668</v>
      </c>
      <c r="E20" s="631">
        <f>IF(E$4&lt;=$B20,(1/$B20),IF(E$4=$B20+1,(1/$B20)-$D20,0))</f>
        <v>0.2</v>
      </c>
      <c r="F20" s="631">
        <f t="shared" ref="F20:AB20" si="10">IF(F$4&lt;=$B20,(1/$B20),IF(F$4=$B20+1,(1/$B20)-$D20,0))</f>
        <v>0.2</v>
      </c>
      <c r="G20" s="631">
        <f t="shared" si="10"/>
        <v>0.2</v>
      </c>
      <c r="H20" s="631">
        <f t="shared" si="10"/>
        <v>0.2</v>
      </c>
      <c r="I20" s="631">
        <f t="shared" si="10"/>
        <v>8.3333333333333329E-2</v>
      </c>
      <c r="J20" s="631">
        <f t="shared" si="10"/>
        <v>0</v>
      </c>
      <c r="K20" s="631">
        <f t="shared" si="10"/>
        <v>0</v>
      </c>
      <c r="L20" s="631">
        <f t="shared" si="10"/>
        <v>0</v>
      </c>
      <c r="M20" s="631">
        <f t="shared" si="10"/>
        <v>0</v>
      </c>
      <c r="N20" s="631">
        <f t="shared" si="10"/>
        <v>0</v>
      </c>
      <c r="O20" s="631">
        <f t="shared" si="10"/>
        <v>0</v>
      </c>
      <c r="P20" s="631">
        <f t="shared" si="10"/>
        <v>0</v>
      </c>
      <c r="Q20" s="631">
        <f t="shared" si="10"/>
        <v>0</v>
      </c>
      <c r="R20" s="631">
        <f t="shared" si="10"/>
        <v>0</v>
      </c>
      <c r="S20" s="631">
        <f t="shared" si="10"/>
        <v>0</v>
      </c>
      <c r="T20" s="631">
        <f t="shared" si="10"/>
        <v>0</v>
      </c>
      <c r="U20" s="631">
        <f t="shared" si="10"/>
        <v>0</v>
      </c>
      <c r="V20" s="631">
        <f t="shared" si="10"/>
        <v>0</v>
      </c>
      <c r="W20" s="631">
        <f t="shared" si="10"/>
        <v>0</v>
      </c>
      <c r="X20" s="631">
        <f t="shared" si="10"/>
        <v>0</v>
      </c>
      <c r="Y20" s="631">
        <f t="shared" si="10"/>
        <v>0</v>
      </c>
      <c r="Z20" s="631">
        <f t="shared" si="10"/>
        <v>0</v>
      </c>
      <c r="AA20" s="631">
        <f t="shared" si="10"/>
        <v>0</v>
      </c>
      <c r="AB20" s="632">
        <f t="shared" si="10"/>
        <v>0</v>
      </c>
      <c r="AC20" s="633"/>
      <c r="AD20" s="633"/>
      <c r="AE20" s="634"/>
    </row>
    <row r="21" spans="1:31" ht="12" customHeight="1">
      <c r="A21" s="188" t="s">
        <v>96</v>
      </c>
      <c r="B21" s="635">
        <f>MAX('Project Assumptions'!$F$39, 'Project Assumptions'!$G$39,'Project Assumptions'!$H$39)</f>
        <v>20</v>
      </c>
      <c r="C21" s="33"/>
      <c r="D21" s="631">
        <f>IF(D16&gt;$B$21,0,(1/$B$21))*'Book Income Statement'!D$7/12</f>
        <v>2.9166666666666671E-2</v>
      </c>
      <c r="E21" s="631">
        <f>IF(E$4&lt;=$B$21,(1/$B$21),IF(E$4=$B$21+1,(1/$B$21)-$D$21,0))</f>
        <v>0.05</v>
      </c>
      <c r="F21" s="631">
        <f t="shared" ref="F21:AB21" si="11">IF(F$4&lt;=$B$21,(1/$B$21),IF(F$4=$B$21+1,(1/$B$21)-$D$21,0))</f>
        <v>0.05</v>
      </c>
      <c r="G21" s="631">
        <f t="shared" si="11"/>
        <v>0.05</v>
      </c>
      <c r="H21" s="631">
        <f t="shared" si="11"/>
        <v>0.05</v>
      </c>
      <c r="I21" s="631">
        <f t="shared" si="11"/>
        <v>0.05</v>
      </c>
      <c r="J21" s="631">
        <f t="shared" si="11"/>
        <v>0.05</v>
      </c>
      <c r="K21" s="631">
        <f t="shared" si="11"/>
        <v>0.05</v>
      </c>
      <c r="L21" s="631">
        <f t="shared" si="11"/>
        <v>0.05</v>
      </c>
      <c r="M21" s="631">
        <f t="shared" si="11"/>
        <v>0.05</v>
      </c>
      <c r="N21" s="631">
        <f t="shared" si="11"/>
        <v>0.05</v>
      </c>
      <c r="O21" s="631">
        <f t="shared" si="11"/>
        <v>0.05</v>
      </c>
      <c r="P21" s="631">
        <f t="shared" si="11"/>
        <v>0.05</v>
      </c>
      <c r="Q21" s="631">
        <f t="shared" si="11"/>
        <v>0.05</v>
      </c>
      <c r="R21" s="631">
        <f t="shared" si="11"/>
        <v>0.05</v>
      </c>
      <c r="S21" s="631">
        <f t="shared" si="11"/>
        <v>0.05</v>
      </c>
      <c r="T21" s="631">
        <f t="shared" si="11"/>
        <v>0.05</v>
      </c>
      <c r="U21" s="631">
        <f t="shared" si="11"/>
        <v>0.05</v>
      </c>
      <c r="V21" s="631">
        <f t="shared" si="11"/>
        <v>0.05</v>
      </c>
      <c r="W21" s="631">
        <f t="shared" si="11"/>
        <v>0.05</v>
      </c>
      <c r="X21" s="631">
        <f t="shared" si="11"/>
        <v>2.0833333333333332E-2</v>
      </c>
      <c r="Y21" s="631">
        <f t="shared" si="11"/>
        <v>0</v>
      </c>
      <c r="Z21" s="631">
        <f t="shared" si="11"/>
        <v>0</v>
      </c>
      <c r="AA21" s="631">
        <f t="shared" si="11"/>
        <v>0</v>
      </c>
      <c r="AB21" s="632">
        <f t="shared" si="11"/>
        <v>0</v>
      </c>
      <c r="AC21" s="633"/>
      <c r="AD21" s="633"/>
      <c r="AE21" s="634"/>
    </row>
    <row r="22" spans="1:31" ht="12" customHeight="1">
      <c r="A22" s="188"/>
      <c r="B22" s="630"/>
      <c r="C22" s="33"/>
      <c r="D22" s="646"/>
      <c r="E22" s="646"/>
      <c r="F22" s="646"/>
      <c r="G22" s="646"/>
      <c r="H22" s="646"/>
      <c r="I22" s="646"/>
      <c r="J22" s="646"/>
      <c r="K22" s="646"/>
      <c r="L22" s="646"/>
      <c r="M22" s="646"/>
      <c r="N22" s="646"/>
      <c r="O22" s="646"/>
      <c r="P22" s="646"/>
      <c r="Q22" s="646"/>
      <c r="R22" s="646"/>
      <c r="S22" s="646"/>
      <c r="T22" s="646"/>
      <c r="U22" s="646"/>
      <c r="V22" s="646"/>
      <c r="W22" s="646"/>
      <c r="X22" s="646"/>
      <c r="Y22" s="646"/>
      <c r="Z22" s="646"/>
      <c r="AA22" s="646"/>
      <c r="AB22" s="647"/>
      <c r="AC22" s="633"/>
      <c r="AD22" s="633"/>
      <c r="AE22" s="634"/>
    </row>
    <row r="23" spans="1:31" ht="12" customHeight="1">
      <c r="A23" s="420"/>
      <c r="B23" s="506"/>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414"/>
    </row>
    <row r="24" spans="1:31" s="30" customFormat="1" ht="12" customHeight="1">
      <c r="A24" s="188" t="s">
        <v>252</v>
      </c>
      <c r="B24" s="425">
        <f>B11</f>
        <v>251122.554</v>
      </c>
      <c r="C24" s="56"/>
      <c r="D24" s="425">
        <f>$B$24*D19</f>
        <v>12556.127700000001</v>
      </c>
      <c r="E24" s="425">
        <f t="shared" ref="E24:AB24" si="12">$B$24*E19</f>
        <v>23856.642630000002</v>
      </c>
      <c r="F24" s="425">
        <f t="shared" si="12"/>
        <v>21470.978367000003</v>
      </c>
      <c r="G24" s="425">
        <f t="shared" si="12"/>
        <v>19336.436657999999</v>
      </c>
      <c r="H24" s="425">
        <f t="shared" si="12"/>
        <v>17402.7929922</v>
      </c>
      <c r="I24" s="425">
        <f t="shared" si="12"/>
        <v>15644.935114200001</v>
      </c>
      <c r="J24" s="425">
        <f t="shared" si="12"/>
        <v>14816.230685999999</v>
      </c>
      <c r="K24" s="425">
        <f t="shared" si="12"/>
        <v>14841.3429414</v>
      </c>
      <c r="L24" s="425">
        <f t="shared" si="12"/>
        <v>14816.230685999999</v>
      </c>
      <c r="M24" s="425">
        <f t="shared" si="12"/>
        <v>14841.3429414</v>
      </c>
      <c r="N24" s="425">
        <f t="shared" si="12"/>
        <v>14816.230685999999</v>
      </c>
      <c r="O24" s="425">
        <f t="shared" si="12"/>
        <v>14841.3429414</v>
      </c>
      <c r="P24" s="425">
        <f t="shared" si="12"/>
        <v>14816.230685999999</v>
      </c>
      <c r="Q24" s="425">
        <f t="shared" si="12"/>
        <v>14841.3429414</v>
      </c>
      <c r="R24" s="425">
        <f t="shared" si="12"/>
        <v>14816.230685999999</v>
      </c>
      <c r="S24" s="425">
        <f t="shared" si="12"/>
        <v>7408.1153429999995</v>
      </c>
      <c r="T24" s="425">
        <f t="shared" si="12"/>
        <v>0</v>
      </c>
      <c r="U24" s="425">
        <f t="shared" si="12"/>
        <v>0</v>
      </c>
      <c r="V24" s="425">
        <f t="shared" si="12"/>
        <v>0</v>
      </c>
      <c r="W24" s="425">
        <f t="shared" si="12"/>
        <v>0</v>
      </c>
      <c r="X24" s="425">
        <f t="shared" si="12"/>
        <v>0</v>
      </c>
      <c r="Y24" s="425">
        <f t="shared" si="12"/>
        <v>0</v>
      </c>
      <c r="Z24" s="425">
        <f t="shared" si="12"/>
        <v>0</v>
      </c>
      <c r="AA24" s="425">
        <f t="shared" si="12"/>
        <v>0</v>
      </c>
      <c r="AB24" s="637">
        <f t="shared" si="12"/>
        <v>0</v>
      </c>
      <c r="AC24" s="48"/>
      <c r="AD24" s="48"/>
      <c r="AE24" s="48"/>
    </row>
    <row r="25" spans="1:31" ht="12" customHeight="1">
      <c r="A25" s="188" t="s">
        <v>246</v>
      </c>
      <c r="B25" s="47">
        <f>B12</f>
        <v>1543.991</v>
      </c>
      <c r="C25" s="33"/>
      <c r="D25" s="47">
        <f t="shared" ref="D25:AB26" si="13">$B25*D20</f>
        <v>180.13228333333336</v>
      </c>
      <c r="E25" s="47">
        <f t="shared" si="13"/>
        <v>308.79820000000001</v>
      </c>
      <c r="F25" s="47">
        <f t="shared" si="13"/>
        <v>308.79820000000001</v>
      </c>
      <c r="G25" s="47">
        <f t="shared" si="13"/>
        <v>308.79820000000001</v>
      </c>
      <c r="H25" s="47">
        <f t="shared" si="13"/>
        <v>308.79820000000001</v>
      </c>
      <c r="I25" s="47">
        <f t="shared" si="13"/>
        <v>128.66591666666665</v>
      </c>
      <c r="J25" s="47">
        <f t="shared" si="13"/>
        <v>0</v>
      </c>
      <c r="K25" s="47">
        <f t="shared" si="13"/>
        <v>0</v>
      </c>
      <c r="L25" s="47">
        <f t="shared" si="13"/>
        <v>0</v>
      </c>
      <c r="M25" s="47">
        <f t="shared" si="13"/>
        <v>0</v>
      </c>
      <c r="N25" s="47">
        <f t="shared" si="13"/>
        <v>0</v>
      </c>
      <c r="O25" s="47">
        <f t="shared" si="13"/>
        <v>0</v>
      </c>
      <c r="P25" s="47">
        <f t="shared" si="13"/>
        <v>0</v>
      </c>
      <c r="Q25" s="47">
        <f t="shared" si="13"/>
        <v>0</v>
      </c>
      <c r="R25" s="47">
        <f t="shared" si="13"/>
        <v>0</v>
      </c>
      <c r="S25" s="47">
        <f t="shared" si="13"/>
        <v>0</v>
      </c>
      <c r="T25" s="47">
        <f t="shared" si="13"/>
        <v>0</v>
      </c>
      <c r="U25" s="47">
        <f t="shared" si="13"/>
        <v>0</v>
      </c>
      <c r="V25" s="47">
        <f t="shared" si="13"/>
        <v>0</v>
      </c>
      <c r="W25" s="47">
        <f t="shared" si="13"/>
        <v>0</v>
      </c>
      <c r="X25" s="47">
        <f t="shared" si="13"/>
        <v>0</v>
      </c>
      <c r="Y25" s="47">
        <f t="shared" si="13"/>
        <v>0</v>
      </c>
      <c r="Z25" s="47">
        <f t="shared" si="13"/>
        <v>0</v>
      </c>
      <c r="AA25" s="47">
        <f t="shared" si="13"/>
        <v>0</v>
      </c>
      <c r="AB25" s="433">
        <f t="shared" si="13"/>
        <v>0</v>
      </c>
      <c r="AC25" s="638"/>
      <c r="AD25" s="638"/>
      <c r="AE25" s="478"/>
    </row>
    <row r="26" spans="1:31" ht="12.75" customHeight="1">
      <c r="A26" s="188" t="s">
        <v>247</v>
      </c>
      <c r="B26" s="47">
        <f>B13</f>
        <v>0</v>
      </c>
      <c r="C26" s="33"/>
      <c r="D26" s="47">
        <f t="shared" si="13"/>
        <v>0</v>
      </c>
      <c r="E26" s="47">
        <f t="shared" si="13"/>
        <v>0</v>
      </c>
      <c r="F26" s="47">
        <f t="shared" ref="F26:AB26" si="14">$B26*F21</f>
        <v>0</v>
      </c>
      <c r="G26" s="47">
        <f t="shared" si="14"/>
        <v>0</v>
      </c>
      <c r="H26" s="47">
        <f t="shared" si="14"/>
        <v>0</v>
      </c>
      <c r="I26" s="47">
        <f t="shared" si="14"/>
        <v>0</v>
      </c>
      <c r="J26" s="47">
        <f t="shared" si="14"/>
        <v>0</v>
      </c>
      <c r="K26" s="47">
        <f t="shared" si="14"/>
        <v>0</v>
      </c>
      <c r="L26" s="47">
        <f t="shared" si="14"/>
        <v>0</v>
      </c>
      <c r="M26" s="47">
        <f t="shared" si="14"/>
        <v>0</v>
      </c>
      <c r="N26" s="47">
        <f t="shared" si="14"/>
        <v>0</v>
      </c>
      <c r="O26" s="47">
        <f t="shared" si="14"/>
        <v>0</v>
      </c>
      <c r="P26" s="47">
        <f t="shared" si="14"/>
        <v>0</v>
      </c>
      <c r="Q26" s="47">
        <f t="shared" si="14"/>
        <v>0</v>
      </c>
      <c r="R26" s="47">
        <f t="shared" si="14"/>
        <v>0</v>
      </c>
      <c r="S26" s="47">
        <f t="shared" si="14"/>
        <v>0</v>
      </c>
      <c r="T26" s="47">
        <f t="shared" si="14"/>
        <v>0</v>
      </c>
      <c r="U26" s="47">
        <f t="shared" si="14"/>
        <v>0</v>
      </c>
      <c r="V26" s="47">
        <f t="shared" si="14"/>
        <v>0</v>
      </c>
      <c r="W26" s="47">
        <f t="shared" si="14"/>
        <v>0</v>
      </c>
      <c r="X26" s="47">
        <f t="shared" si="14"/>
        <v>0</v>
      </c>
      <c r="Y26" s="47">
        <f t="shared" si="14"/>
        <v>0</v>
      </c>
      <c r="Z26" s="47">
        <f t="shared" si="14"/>
        <v>0</v>
      </c>
      <c r="AA26" s="47">
        <f t="shared" si="14"/>
        <v>0</v>
      </c>
      <c r="AB26" s="433">
        <f t="shared" si="14"/>
        <v>0</v>
      </c>
      <c r="AC26" s="638"/>
      <c r="AD26" s="638"/>
      <c r="AE26" s="478"/>
    </row>
    <row r="27" spans="1:31" ht="15" customHeight="1">
      <c r="A27" s="188" t="s">
        <v>448</v>
      </c>
      <c r="B27" s="481">
        <f>B14</f>
        <v>0</v>
      </c>
      <c r="C27" s="33"/>
      <c r="D27" s="481">
        <f>B27</f>
        <v>0</v>
      </c>
      <c r="E27" s="639">
        <v>0</v>
      </c>
      <c r="F27" s="639">
        <v>0</v>
      </c>
      <c r="G27" s="639">
        <v>0</v>
      </c>
      <c r="H27" s="639">
        <v>0</v>
      </c>
      <c r="I27" s="639">
        <v>0</v>
      </c>
      <c r="J27" s="639">
        <v>0</v>
      </c>
      <c r="K27" s="639">
        <v>0</v>
      </c>
      <c r="L27" s="639">
        <v>0</v>
      </c>
      <c r="M27" s="639">
        <v>0</v>
      </c>
      <c r="N27" s="639">
        <v>0</v>
      </c>
      <c r="O27" s="639">
        <v>0</v>
      </c>
      <c r="P27" s="639">
        <v>0</v>
      </c>
      <c r="Q27" s="639">
        <v>0</v>
      </c>
      <c r="R27" s="639">
        <v>0</v>
      </c>
      <c r="S27" s="639">
        <v>0</v>
      </c>
      <c r="T27" s="639">
        <v>0</v>
      </c>
      <c r="U27" s="639">
        <v>0</v>
      </c>
      <c r="V27" s="639">
        <v>0</v>
      </c>
      <c r="W27" s="639">
        <v>0</v>
      </c>
      <c r="X27" s="639">
        <v>0</v>
      </c>
      <c r="Y27" s="639">
        <v>0</v>
      </c>
      <c r="Z27" s="639">
        <v>0</v>
      </c>
      <c r="AA27" s="639">
        <v>0</v>
      </c>
      <c r="AB27" s="640">
        <v>0</v>
      </c>
      <c r="AC27" s="638"/>
      <c r="AD27" s="638"/>
      <c r="AE27" s="478"/>
    </row>
    <row r="28" spans="1:31" ht="12" customHeight="1">
      <c r="A28" s="641" t="s">
        <v>248</v>
      </c>
      <c r="B28" s="518">
        <f>SUM(B24:B27)</f>
        <v>252666.54500000001</v>
      </c>
      <c r="C28" s="409"/>
      <c r="D28" s="518">
        <f>SUM(D24:D27)</f>
        <v>12736.259983333333</v>
      </c>
      <c r="E28" s="518">
        <f>SUM(E24:E27)</f>
        <v>24165.440830000003</v>
      </c>
      <c r="F28" s="518">
        <f t="shared" ref="F28:AB28" si="15">SUM(F24:F27)</f>
        <v>21779.776567000004</v>
      </c>
      <c r="G28" s="518">
        <f t="shared" si="15"/>
        <v>19645.234858</v>
      </c>
      <c r="H28" s="518">
        <f t="shared" si="15"/>
        <v>17711.591192200001</v>
      </c>
      <c r="I28" s="518">
        <f t="shared" si="15"/>
        <v>15773.601030866668</v>
      </c>
      <c r="J28" s="518">
        <f t="shared" si="15"/>
        <v>14816.230685999999</v>
      </c>
      <c r="K28" s="518">
        <f t="shared" si="15"/>
        <v>14841.3429414</v>
      </c>
      <c r="L28" s="518">
        <f t="shared" si="15"/>
        <v>14816.230685999999</v>
      </c>
      <c r="M28" s="518">
        <f t="shared" si="15"/>
        <v>14841.3429414</v>
      </c>
      <c r="N28" s="518">
        <f t="shared" si="15"/>
        <v>14816.230685999999</v>
      </c>
      <c r="O28" s="518">
        <f t="shared" si="15"/>
        <v>14841.3429414</v>
      </c>
      <c r="P28" s="518">
        <f t="shared" si="15"/>
        <v>14816.230685999999</v>
      </c>
      <c r="Q28" s="518">
        <f t="shared" si="15"/>
        <v>14841.3429414</v>
      </c>
      <c r="R28" s="518">
        <f t="shared" si="15"/>
        <v>14816.230685999999</v>
      </c>
      <c r="S28" s="518">
        <f t="shared" si="15"/>
        <v>7408.1153429999995</v>
      </c>
      <c r="T28" s="518">
        <f t="shared" si="15"/>
        <v>0</v>
      </c>
      <c r="U28" s="518">
        <f t="shared" si="15"/>
        <v>0</v>
      </c>
      <c r="V28" s="518">
        <f t="shared" si="15"/>
        <v>0</v>
      </c>
      <c r="W28" s="518">
        <f t="shared" si="15"/>
        <v>0</v>
      </c>
      <c r="X28" s="518">
        <f t="shared" si="15"/>
        <v>0</v>
      </c>
      <c r="Y28" s="518">
        <f t="shared" si="15"/>
        <v>0</v>
      </c>
      <c r="Z28" s="518">
        <f t="shared" si="15"/>
        <v>0</v>
      </c>
      <c r="AA28" s="518">
        <f t="shared" si="15"/>
        <v>0</v>
      </c>
      <c r="AB28" s="643">
        <f t="shared" si="15"/>
        <v>0</v>
      </c>
      <c r="AC28" s="638"/>
      <c r="AD28" s="638"/>
      <c r="AE28" s="478"/>
    </row>
    <row r="29" spans="1:31" ht="12" customHeight="1"/>
    <row r="30" spans="1:31" ht="12" customHeight="1">
      <c r="A30" s="624" t="s">
        <v>256</v>
      </c>
      <c r="B30" s="437"/>
      <c r="C30" s="437"/>
      <c r="D30" s="437"/>
      <c r="E30" s="437"/>
      <c r="F30" s="437"/>
      <c r="G30" s="437"/>
      <c r="H30" s="437"/>
      <c r="I30" s="437"/>
      <c r="J30" s="437"/>
      <c r="K30" s="437"/>
      <c r="L30" s="437"/>
      <c r="M30" s="437"/>
      <c r="N30" s="437"/>
      <c r="O30" s="437"/>
      <c r="P30" s="437"/>
      <c r="Q30" s="437"/>
      <c r="R30" s="437"/>
      <c r="S30" s="437"/>
      <c r="T30" s="437"/>
      <c r="U30" s="437"/>
      <c r="V30" s="437"/>
      <c r="W30" s="437"/>
      <c r="X30" s="437"/>
      <c r="Y30" s="437"/>
      <c r="Z30" s="437"/>
      <c r="AA30" s="437"/>
      <c r="AB30" s="408"/>
      <c r="AE30" s="629"/>
    </row>
    <row r="31" spans="1:31" ht="12" customHeight="1">
      <c r="A31" s="644"/>
      <c r="B31" s="506" t="s">
        <v>0</v>
      </c>
      <c r="C31" s="648" t="s">
        <v>34</v>
      </c>
      <c r="D31" s="33">
        <v>1</v>
      </c>
      <c r="E31" s="33">
        <f>D31+1</f>
        <v>2</v>
      </c>
      <c r="F31" s="33">
        <f t="shared" ref="F31:AB31" si="16">E31+1</f>
        <v>3</v>
      </c>
      <c r="G31" s="33">
        <f t="shared" si="16"/>
        <v>4</v>
      </c>
      <c r="H31" s="33">
        <f t="shared" si="16"/>
        <v>5</v>
      </c>
      <c r="I31" s="33">
        <f t="shared" si="16"/>
        <v>6</v>
      </c>
      <c r="J31" s="33">
        <f t="shared" si="16"/>
        <v>7</v>
      </c>
      <c r="K31" s="33">
        <f t="shared" si="16"/>
        <v>8</v>
      </c>
      <c r="L31" s="33">
        <f t="shared" si="16"/>
        <v>9</v>
      </c>
      <c r="M31" s="33">
        <f t="shared" si="16"/>
        <v>10</v>
      </c>
      <c r="N31" s="33">
        <f t="shared" si="16"/>
        <v>11</v>
      </c>
      <c r="O31" s="33">
        <f t="shared" si="16"/>
        <v>12</v>
      </c>
      <c r="P31" s="33">
        <f t="shared" si="16"/>
        <v>13</v>
      </c>
      <c r="Q31" s="33">
        <f t="shared" si="16"/>
        <v>14</v>
      </c>
      <c r="R31" s="33">
        <f t="shared" si="16"/>
        <v>15</v>
      </c>
      <c r="S31" s="33">
        <f t="shared" si="16"/>
        <v>16</v>
      </c>
      <c r="T31" s="33">
        <f t="shared" si="16"/>
        <v>17</v>
      </c>
      <c r="U31" s="33">
        <f t="shared" si="16"/>
        <v>18</v>
      </c>
      <c r="V31" s="33">
        <f t="shared" si="16"/>
        <v>19</v>
      </c>
      <c r="W31" s="33">
        <f t="shared" si="16"/>
        <v>20</v>
      </c>
      <c r="X31" s="33">
        <f t="shared" si="16"/>
        <v>21</v>
      </c>
      <c r="Y31" s="33">
        <f t="shared" si="16"/>
        <v>22</v>
      </c>
      <c r="Z31" s="33">
        <f t="shared" si="16"/>
        <v>23</v>
      </c>
      <c r="AA31" s="33">
        <f t="shared" si="16"/>
        <v>24</v>
      </c>
      <c r="AB31" s="414">
        <f t="shared" si="16"/>
        <v>25</v>
      </c>
      <c r="AE31" s="629"/>
    </row>
    <row r="32" spans="1:31" ht="12" customHeight="1">
      <c r="A32" s="188" t="s">
        <v>253</v>
      </c>
      <c r="B32" s="630">
        <v>30</v>
      </c>
      <c r="C32" s="649">
        <f>'Project Assumptions'!U15</f>
        <v>0.1</v>
      </c>
      <c r="D32" s="631">
        <f>((1-$C$32)/$B$32)*'Book Income Statement'!D$7/12</f>
        <v>1.7500000000000002E-2</v>
      </c>
      <c r="E32" s="631">
        <f>IF(E31&lt;=$B$32,(1-$C$32)/$B$32,IF(E31=$B$32+1,(1/$B32)-$D$32,0))</f>
        <v>3.0000000000000002E-2</v>
      </c>
      <c r="F32" s="631">
        <f t="shared" ref="F32:AB32" si="17">IF(F31&lt;=$B$32,(1-$C$32)/$B$32,IF(F31=$B$32+1,(1/$B32)-$D$32,0))</f>
        <v>3.0000000000000002E-2</v>
      </c>
      <c r="G32" s="631">
        <f t="shared" si="17"/>
        <v>3.0000000000000002E-2</v>
      </c>
      <c r="H32" s="631">
        <f t="shared" si="17"/>
        <v>3.0000000000000002E-2</v>
      </c>
      <c r="I32" s="631">
        <f t="shared" si="17"/>
        <v>3.0000000000000002E-2</v>
      </c>
      <c r="J32" s="631">
        <f t="shared" si="17"/>
        <v>3.0000000000000002E-2</v>
      </c>
      <c r="K32" s="631">
        <f t="shared" si="17"/>
        <v>3.0000000000000002E-2</v>
      </c>
      <c r="L32" s="631">
        <f t="shared" si="17"/>
        <v>3.0000000000000002E-2</v>
      </c>
      <c r="M32" s="631">
        <f t="shared" si="17"/>
        <v>3.0000000000000002E-2</v>
      </c>
      <c r="N32" s="631">
        <f t="shared" si="17"/>
        <v>3.0000000000000002E-2</v>
      </c>
      <c r="O32" s="631">
        <f t="shared" si="17"/>
        <v>3.0000000000000002E-2</v>
      </c>
      <c r="P32" s="631">
        <f t="shared" si="17"/>
        <v>3.0000000000000002E-2</v>
      </c>
      <c r="Q32" s="631">
        <f t="shared" si="17"/>
        <v>3.0000000000000002E-2</v>
      </c>
      <c r="R32" s="631">
        <f t="shared" si="17"/>
        <v>3.0000000000000002E-2</v>
      </c>
      <c r="S32" s="631">
        <f t="shared" si="17"/>
        <v>3.0000000000000002E-2</v>
      </c>
      <c r="T32" s="631">
        <f t="shared" si="17"/>
        <v>3.0000000000000002E-2</v>
      </c>
      <c r="U32" s="631">
        <f t="shared" si="17"/>
        <v>3.0000000000000002E-2</v>
      </c>
      <c r="V32" s="631">
        <f t="shared" si="17"/>
        <v>3.0000000000000002E-2</v>
      </c>
      <c r="W32" s="631">
        <f t="shared" si="17"/>
        <v>3.0000000000000002E-2</v>
      </c>
      <c r="X32" s="631">
        <f t="shared" si="17"/>
        <v>3.0000000000000002E-2</v>
      </c>
      <c r="Y32" s="631">
        <f t="shared" si="17"/>
        <v>3.0000000000000002E-2</v>
      </c>
      <c r="Z32" s="631">
        <f t="shared" si="17"/>
        <v>3.0000000000000002E-2</v>
      </c>
      <c r="AA32" s="631">
        <f t="shared" si="17"/>
        <v>3.0000000000000002E-2</v>
      </c>
      <c r="AB32" s="632">
        <f t="shared" si="17"/>
        <v>3.0000000000000002E-2</v>
      </c>
      <c r="AC32" s="650"/>
      <c r="AD32" s="633"/>
      <c r="AE32" s="634"/>
    </row>
    <row r="33" spans="1:31" ht="12" customHeight="1">
      <c r="A33" s="188" t="s">
        <v>245</v>
      </c>
      <c r="B33" s="630">
        <v>5</v>
      </c>
      <c r="C33" s="33"/>
      <c r="D33" s="631">
        <f>(1/$B33)*'Book Income Statement'!D$7/12</f>
        <v>0.11666666666666668</v>
      </c>
      <c r="E33" s="631">
        <f>IF(E31&lt;=$B$33,(1/$B33),IF(E31=$B$33+1,(1/$B33)-$D$33,0))</f>
        <v>0.2</v>
      </c>
      <c r="F33" s="631">
        <f t="shared" ref="F33:AB33" si="18">IF(F31&lt;=$B$33,(1/$B33),IF(F31=$B$33+1,(1/$B33)-$D$33,0))</f>
        <v>0.2</v>
      </c>
      <c r="G33" s="631">
        <f t="shared" si="18"/>
        <v>0.2</v>
      </c>
      <c r="H33" s="631">
        <f t="shared" si="18"/>
        <v>0.2</v>
      </c>
      <c r="I33" s="631">
        <f t="shared" si="18"/>
        <v>8.3333333333333329E-2</v>
      </c>
      <c r="J33" s="631">
        <f t="shared" si="18"/>
        <v>0</v>
      </c>
      <c r="K33" s="631">
        <f t="shared" si="18"/>
        <v>0</v>
      </c>
      <c r="L33" s="631">
        <f t="shared" si="18"/>
        <v>0</v>
      </c>
      <c r="M33" s="631">
        <f t="shared" si="18"/>
        <v>0</v>
      </c>
      <c r="N33" s="631">
        <f t="shared" si="18"/>
        <v>0</v>
      </c>
      <c r="O33" s="631">
        <f t="shared" si="18"/>
        <v>0</v>
      </c>
      <c r="P33" s="631">
        <f t="shared" si="18"/>
        <v>0</v>
      </c>
      <c r="Q33" s="631">
        <f t="shared" si="18"/>
        <v>0</v>
      </c>
      <c r="R33" s="631">
        <f t="shared" si="18"/>
        <v>0</v>
      </c>
      <c r="S33" s="631">
        <f t="shared" si="18"/>
        <v>0</v>
      </c>
      <c r="T33" s="631">
        <f t="shared" si="18"/>
        <v>0</v>
      </c>
      <c r="U33" s="631">
        <f t="shared" si="18"/>
        <v>0</v>
      </c>
      <c r="V33" s="631">
        <f t="shared" si="18"/>
        <v>0</v>
      </c>
      <c r="W33" s="631">
        <f t="shared" si="18"/>
        <v>0</v>
      </c>
      <c r="X33" s="631">
        <f t="shared" si="18"/>
        <v>0</v>
      </c>
      <c r="Y33" s="631">
        <f t="shared" si="18"/>
        <v>0</v>
      </c>
      <c r="Z33" s="631">
        <f t="shared" si="18"/>
        <v>0</v>
      </c>
      <c r="AA33" s="631">
        <f t="shared" si="18"/>
        <v>0</v>
      </c>
      <c r="AB33" s="632">
        <f t="shared" si="18"/>
        <v>0</v>
      </c>
      <c r="AD33" s="633"/>
      <c r="AE33" s="634"/>
    </row>
    <row r="34" spans="1:31" ht="12" customHeight="1">
      <c r="A34" s="188" t="s">
        <v>96</v>
      </c>
      <c r="B34" s="635">
        <f>+B9</f>
        <v>20</v>
      </c>
      <c r="C34" s="33"/>
      <c r="D34" s="631">
        <f>(1/$B34)*'Book Income Statement'!D$7/12</f>
        <v>2.9166666666666671E-2</v>
      </c>
      <c r="E34" s="631">
        <f>IF(E31&lt;=$B$34,(1/$B34),IF(E31=$B$34+1,(1/$B34)-$D$34,0))</f>
        <v>0.05</v>
      </c>
      <c r="F34" s="631">
        <f t="shared" ref="F34:AB34" si="19">IF(F31&lt;=$B$34,(1/$B34),IF(F31=$B$34+1,(1/$B34)-$D$34,0))</f>
        <v>0.05</v>
      </c>
      <c r="G34" s="631">
        <f t="shared" si="19"/>
        <v>0.05</v>
      </c>
      <c r="H34" s="631">
        <f t="shared" si="19"/>
        <v>0.05</v>
      </c>
      <c r="I34" s="631">
        <f t="shared" si="19"/>
        <v>0.05</v>
      </c>
      <c r="J34" s="631">
        <f t="shared" si="19"/>
        <v>0.05</v>
      </c>
      <c r="K34" s="631">
        <f t="shared" si="19"/>
        <v>0.05</v>
      </c>
      <c r="L34" s="631">
        <f t="shared" si="19"/>
        <v>0.05</v>
      </c>
      <c r="M34" s="631">
        <f t="shared" si="19"/>
        <v>0.05</v>
      </c>
      <c r="N34" s="631">
        <f t="shared" si="19"/>
        <v>0.05</v>
      </c>
      <c r="O34" s="631">
        <f t="shared" si="19"/>
        <v>0.05</v>
      </c>
      <c r="P34" s="631">
        <f t="shared" si="19"/>
        <v>0.05</v>
      </c>
      <c r="Q34" s="631">
        <f t="shared" si="19"/>
        <v>0.05</v>
      </c>
      <c r="R34" s="631">
        <f t="shared" si="19"/>
        <v>0.05</v>
      </c>
      <c r="S34" s="631">
        <f t="shared" si="19"/>
        <v>0.05</v>
      </c>
      <c r="T34" s="631">
        <f t="shared" si="19"/>
        <v>0.05</v>
      </c>
      <c r="U34" s="631">
        <f t="shared" si="19"/>
        <v>0.05</v>
      </c>
      <c r="V34" s="631">
        <f t="shared" si="19"/>
        <v>0.05</v>
      </c>
      <c r="W34" s="631">
        <f t="shared" si="19"/>
        <v>0.05</v>
      </c>
      <c r="X34" s="631">
        <f t="shared" si="19"/>
        <v>2.0833333333333332E-2</v>
      </c>
      <c r="Y34" s="631">
        <f t="shared" si="19"/>
        <v>0</v>
      </c>
      <c r="Z34" s="631">
        <f t="shared" si="19"/>
        <v>0</v>
      </c>
      <c r="AA34" s="631">
        <f t="shared" si="19"/>
        <v>0</v>
      </c>
      <c r="AB34" s="632">
        <f t="shared" si="19"/>
        <v>0</v>
      </c>
      <c r="AD34" s="633"/>
      <c r="AE34" s="634"/>
    </row>
    <row r="35" spans="1:31" ht="12" customHeight="1">
      <c r="A35" s="420"/>
      <c r="B35" s="506"/>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31" ht="12" customHeight="1">
      <c r="A36" s="188" t="s">
        <v>254</v>
      </c>
      <c r="B36" s="425">
        <f>B11</f>
        <v>251122.554</v>
      </c>
      <c r="C36" s="33"/>
      <c r="D36" s="425">
        <f>D32*$B$36</f>
        <v>4394.6446950000009</v>
      </c>
      <c r="E36" s="425">
        <f t="shared" ref="E36:AB36" si="20">E32*$B$36</f>
        <v>7533.6766200000011</v>
      </c>
      <c r="F36" s="425">
        <f t="shared" si="20"/>
        <v>7533.6766200000011</v>
      </c>
      <c r="G36" s="425">
        <f t="shared" si="20"/>
        <v>7533.6766200000011</v>
      </c>
      <c r="H36" s="425">
        <f t="shared" si="20"/>
        <v>7533.6766200000011</v>
      </c>
      <c r="I36" s="425">
        <f t="shared" si="20"/>
        <v>7533.6766200000011</v>
      </c>
      <c r="J36" s="425">
        <f t="shared" si="20"/>
        <v>7533.6766200000011</v>
      </c>
      <c r="K36" s="425">
        <f t="shared" si="20"/>
        <v>7533.6766200000011</v>
      </c>
      <c r="L36" s="425">
        <f t="shared" si="20"/>
        <v>7533.6766200000011</v>
      </c>
      <c r="M36" s="425">
        <f t="shared" si="20"/>
        <v>7533.6766200000011</v>
      </c>
      <c r="N36" s="425">
        <f t="shared" si="20"/>
        <v>7533.6766200000011</v>
      </c>
      <c r="O36" s="425">
        <f t="shared" si="20"/>
        <v>7533.6766200000011</v>
      </c>
      <c r="P36" s="425">
        <f t="shared" si="20"/>
        <v>7533.6766200000011</v>
      </c>
      <c r="Q36" s="425">
        <f t="shared" si="20"/>
        <v>7533.6766200000011</v>
      </c>
      <c r="R36" s="425">
        <f t="shared" si="20"/>
        <v>7533.6766200000011</v>
      </c>
      <c r="S36" s="425">
        <f t="shared" si="20"/>
        <v>7533.6766200000011</v>
      </c>
      <c r="T36" s="425">
        <f t="shared" si="20"/>
        <v>7533.6766200000011</v>
      </c>
      <c r="U36" s="425">
        <f t="shared" si="20"/>
        <v>7533.6766200000011</v>
      </c>
      <c r="V36" s="425">
        <f t="shared" si="20"/>
        <v>7533.6766200000011</v>
      </c>
      <c r="W36" s="425">
        <f t="shared" si="20"/>
        <v>7533.6766200000011</v>
      </c>
      <c r="X36" s="425">
        <f t="shared" si="20"/>
        <v>7533.6766200000011</v>
      </c>
      <c r="Y36" s="425">
        <f t="shared" si="20"/>
        <v>7533.6766200000011</v>
      </c>
      <c r="Z36" s="425">
        <f t="shared" si="20"/>
        <v>7533.6766200000011</v>
      </c>
      <c r="AA36" s="425">
        <f t="shared" si="20"/>
        <v>7533.6766200000011</v>
      </c>
      <c r="AB36" s="637">
        <f t="shared" si="20"/>
        <v>7533.6766200000011</v>
      </c>
      <c r="AC36" s="638"/>
      <c r="AD36" s="638"/>
      <c r="AE36" s="638"/>
    </row>
    <row r="37" spans="1:31" ht="12" customHeight="1">
      <c r="A37" s="188" t="s">
        <v>246</v>
      </c>
      <c r="B37" s="425">
        <f>B12</f>
        <v>1543.991</v>
      </c>
      <c r="C37" s="33"/>
      <c r="D37" s="47">
        <f>D33*$B$37</f>
        <v>180.13228333333336</v>
      </c>
      <c r="E37" s="47">
        <f t="shared" ref="E37:AB37" si="21">E33*$B$37</f>
        <v>308.79820000000001</v>
      </c>
      <c r="F37" s="47">
        <f t="shared" si="21"/>
        <v>308.79820000000001</v>
      </c>
      <c r="G37" s="47">
        <f t="shared" si="21"/>
        <v>308.79820000000001</v>
      </c>
      <c r="H37" s="47">
        <f t="shared" si="21"/>
        <v>308.79820000000001</v>
      </c>
      <c r="I37" s="47">
        <f t="shared" si="21"/>
        <v>128.66591666666665</v>
      </c>
      <c r="J37" s="47">
        <f t="shared" si="21"/>
        <v>0</v>
      </c>
      <c r="K37" s="47">
        <f t="shared" si="21"/>
        <v>0</v>
      </c>
      <c r="L37" s="47">
        <f t="shared" si="21"/>
        <v>0</v>
      </c>
      <c r="M37" s="47">
        <f t="shared" si="21"/>
        <v>0</v>
      </c>
      <c r="N37" s="47">
        <f t="shared" si="21"/>
        <v>0</v>
      </c>
      <c r="O37" s="47">
        <f t="shared" si="21"/>
        <v>0</v>
      </c>
      <c r="P37" s="47">
        <f t="shared" si="21"/>
        <v>0</v>
      </c>
      <c r="Q37" s="47">
        <f t="shared" si="21"/>
        <v>0</v>
      </c>
      <c r="R37" s="47">
        <f t="shared" si="21"/>
        <v>0</v>
      </c>
      <c r="S37" s="47">
        <f t="shared" si="21"/>
        <v>0</v>
      </c>
      <c r="T37" s="47">
        <f t="shared" si="21"/>
        <v>0</v>
      </c>
      <c r="U37" s="47">
        <f t="shared" si="21"/>
        <v>0</v>
      </c>
      <c r="V37" s="47">
        <f t="shared" si="21"/>
        <v>0</v>
      </c>
      <c r="W37" s="47">
        <f t="shared" si="21"/>
        <v>0</v>
      </c>
      <c r="X37" s="47">
        <f t="shared" si="21"/>
        <v>0</v>
      </c>
      <c r="Y37" s="47">
        <f t="shared" si="21"/>
        <v>0</v>
      </c>
      <c r="Z37" s="47">
        <f t="shared" si="21"/>
        <v>0</v>
      </c>
      <c r="AA37" s="47">
        <f t="shared" si="21"/>
        <v>0</v>
      </c>
      <c r="AB37" s="433">
        <f t="shared" si="21"/>
        <v>0</v>
      </c>
      <c r="AC37" s="638"/>
      <c r="AD37" s="638"/>
      <c r="AE37" s="478"/>
    </row>
    <row r="38" spans="1:31" ht="12.75" customHeight="1">
      <c r="A38" s="188" t="s">
        <v>247</v>
      </c>
      <c r="B38" s="47">
        <f>B13</f>
        <v>0</v>
      </c>
      <c r="C38" s="33"/>
      <c r="D38" s="47">
        <f>D34*$B$38</f>
        <v>0</v>
      </c>
      <c r="E38" s="47">
        <f>E34*$B$38</f>
        <v>0</v>
      </c>
      <c r="F38" s="47">
        <f t="shared" ref="F38:AB38" si="22">F34*$B$38</f>
        <v>0</v>
      </c>
      <c r="G38" s="47">
        <f t="shared" si="22"/>
        <v>0</v>
      </c>
      <c r="H38" s="47">
        <f t="shared" si="22"/>
        <v>0</v>
      </c>
      <c r="I38" s="47">
        <f t="shared" si="22"/>
        <v>0</v>
      </c>
      <c r="J38" s="47">
        <f t="shared" si="22"/>
        <v>0</v>
      </c>
      <c r="K38" s="47">
        <f t="shared" si="22"/>
        <v>0</v>
      </c>
      <c r="L38" s="47">
        <f t="shared" si="22"/>
        <v>0</v>
      </c>
      <c r="M38" s="47">
        <f t="shared" si="22"/>
        <v>0</v>
      </c>
      <c r="N38" s="47">
        <f t="shared" si="22"/>
        <v>0</v>
      </c>
      <c r="O38" s="47">
        <f t="shared" si="22"/>
        <v>0</v>
      </c>
      <c r="P38" s="47">
        <f t="shared" si="22"/>
        <v>0</v>
      </c>
      <c r="Q38" s="47">
        <f t="shared" si="22"/>
        <v>0</v>
      </c>
      <c r="R38" s="47">
        <f t="shared" si="22"/>
        <v>0</v>
      </c>
      <c r="S38" s="47">
        <f t="shared" si="22"/>
        <v>0</v>
      </c>
      <c r="T38" s="47">
        <f t="shared" si="22"/>
        <v>0</v>
      </c>
      <c r="U38" s="47">
        <f t="shared" si="22"/>
        <v>0</v>
      </c>
      <c r="V38" s="47">
        <f t="shared" si="22"/>
        <v>0</v>
      </c>
      <c r="W38" s="47">
        <f t="shared" si="22"/>
        <v>0</v>
      </c>
      <c r="X38" s="47">
        <f t="shared" si="22"/>
        <v>0</v>
      </c>
      <c r="Y38" s="47">
        <f t="shared" si="22"/>
        <v>0</v>
      </c>
      <c r="Z38" s="47">
        <f t="shared" si="22"/>
        <v>0</v>
      </c>
      <c r="AA38" s="47">
        <f t="shared" si="22"/>
        <v>0</v>
      </c>
      <c r="AB38" s="433">
        <f t="shared" si="22"/>
        <v>0</v>
      </c>
      <c r="AC38" s="638"/>
      <c r="AD38" s="638"/>
      <c r="AE38" s="478"/>
    </row>
    <row r="39" spans="1:31" ht="12.75" customHeight="1">
      <c r="A39" s="188" t="s">
        <v>448</v>
      </c>
      <c r="B39" s="481">
        <f>B14</f>
        <v>0</v>
      </c>
      <c r="C39" s="33"/>
      <c r="D39" s="481">
        <f>B39</f>
        <v>0</v>
      </c>
      <c r="E39" s="639">
        <v>0</v>
      </c>
      <c r="F39" s="639">
        <v>0</v>
      </c>
      <c r="G39" s="639">
        <v>0</v>
      </c>
      <c r="H39" s="639">
        <v>0</v>
      </c>
      <c r="I39" s="639">
        <v>0</v>
      </c>
      <c r="J39" s="639">
        <v>0</v>
      </c>
      <c r="K39" s="639">
        <v>0</v>
      </c>
      <c r="L39" s="639">
        <v>0</v>
      </c>
      <c r="M39" s="639">
        <v>0</v>
      </c>
      <c r="N39" s="639">
        <v>0</v>
      </c>
      <c r="O39" s="639">
        <v>0</v>
      </c>
      <c r="P39" s="639">
        <v>0</v>
      </c>
      <c r="Q39" s="639">
        <v>0</v>
      </c>
      <c r="R39" s="639">
        <v>0</v>
      </c>
      <c r="S39" s="639">
        <v>0</v>
      </c>
      <c r="T39" s="639">
        <v>0</v>
      </c>
      <c r="U39" s="639">
        <v>0</v>
      </c>
      <c r="V39" s="639">
        <v>0</v>
      </c>
      <c r="W39" s="639">
        <v>0</v>
      </c>
      <c r="X39" s="639">
        <v>0</v>
      </c>
      <c r="Y39" s="639">
        <v>0</v>
      </c>
      <c r="Z39" s="639">
        <v>0</v>
      </c>
      <c r="AA39" s="639">
        <v>0</v>
      </c>
      <c r="AB39" s="640">
        <v>0</v>
      </c>
      <c r="AC39" s="638"/>
      <c r="AD39" s="638"/>
      <c r="AE39" s="478"/>
    </row>
    <row r="40" spans="1:31" ht="12" customHeight="1">
      <c r="A40" s="188" t="s">
        <v>249</v>
      </c>
      <c r="B40" s="425">
        <f>SUM(B36:B39)</f>
        <v>252666.54500000001</v>
      </c>
      <c r="C40" s="33"/>
      <c r="D40" s="425">
        <f>SUM(D36:D39)</f>
        <v>4574.7769783333342</v>
      </c>
      <c r="E40" s="425">
        <f>SUM(E36:E39)</f>
        <v>7842.4748200000013</v>
      </c>
      <c r="F40" s="425">
        <f t="shared" ref="F40:AB40" si="23">SUM(F36:F39)</f>
        <v>7842.4748200000013</v>
      </c>
      <c r="G40" s="425">
        <f t="shared" si="23"/>
        <v>7842.4748200000013</v>
      </c>
      <c r="H40" s="425">
        <f t="shared" si="23"/>
        <v>7842.4748200000013</v>
      </c>
      <c r="I40" s="425">
        <f t="shared" si="23"/>
        <v>7662.3425366666679</v>
      </c>
      <c r="J40" s="425">
        <f t="shared" si="23"/>
        <v>7533.6766200000011</v>
      </c>
      <c r="K40" s="425">
        <f t="shared" si="23"/>
        <v>7533.6766200000011</v>
      </c>
      <c r="L40" s="425">
        <f t="shared" si="23"/>
        <v>7533.6766200000011</v>
      </c>
      <c r="M40" s="425">
        <f t="shared" si="23"/>
        <v>7533.6766200000011</v>
      </c>
      <c r="N40" s="425">
        <f t="shared" si="23"/>
        <v>7533.6766200000011</v>
      </c>
      <c r="O40" s="425">
        <f t="shared" si="23"/>
        <v>7533.6766200000011</v>
      </c>
      <c r="P40" s="425">
        <f t="shared" si="23"/>
        <v>7533.6766200000011</v>
      </c>
      <c r="Q40" s="425">
        <f t="shared" si="23"/>
        <v>7533.6766200000011</v>
      </c>
      <c r="R40" s="425">
        <f t="shared" si="23"/>
        <v>7533.6766200000011</v>
      </c>
      <c r="S40" s="425">
        <f t="shared" si="23"/>
        <v>7533.6766200000011</v>
      </c>
      <c r="T40" s="425">
        <f t="shared" si="23"/>
        <v>7533.6766200000011</v>
      </c>
      <c r="U40" s="425">
        <f t="shared" si="23"/>
        <v>7533.6766200000011</v>
      </c>
      <c r="V40" s="425">
        <f t="shared" si="23"/>
        <v>7533.6766200000011</v>
      </c>
      <c r="W40" s="425">
        <f t="shared" si="23"/>
        <v>7533.6766200000011</v>
      </c>
      <c r="X40" s="425">
        <f t="shared" si="23"/>
        <v>7533.6766200000011</v>
      </c>
      <c r="Y40" s="425">
        <f t="shared" si="23"/>
        <v>7533.6766200000011</v>
      </c>
      <c r="Z40" s="425">
        <f t="shared" si="23"/>
        <v>7533.6766200000011</v>
      </c>
      <c r="AA40" s="425">
        <f t="shared" si="23"/>
        <v>7533.6766200000011</v>
      </c>
      <c r="AB40" s="637">
        <f t="shared" si="23"/>
        <v>7533.6766200000011</v>
      </c>
      <c r="AC40" s="638"/>
      <c r="AD40" s="638"/>
      <c r="AE40" s="478"/>
    </row>
    <row r="41" spans="1:31" ht="12" customHeight="1">
      <c r="A41" s="188"/>
      <c r="B41" s="425"/>
      <c r="C41" s="33"/>
      <c r="D41" s="425"/>
      <c r="E41" s="425"/>
      <c r="F41" s="425"/>
      <c r="G41" s="425"/>
      <c r="H41" s="425"/>
      <c r="I41" s="425"/>
      <c r="J41" s="425"/>
      <c r="K41" s="425"/>
      <c r="L41" s="425"/>
      <c r="M41" s="425"/>
      <c r="N41" s="425"/>
      <c r="O41" s="425"/>
      <c r="P41" s="425"/>
      <c r="Q41" s="425"/>
      <c r="R41" s="425"/>
      <c r="S41" s="425"/>
      <c r="T41" s="425"/>
      <c r="U41" s="425"/>
      <c r="V41" s="425"/>
      <c r="W41" s="425"/>
      <c r="X41" s="425"/>
      <c r="Y41" s="425"/>
      <c r="Z41" s="425"/>
      <c r="AA41" s="425"/>
      <c r="AB41" s="637"/>
      <c r="AC41" s="638"/>
      <c r="AD41" s="638"/>
      <c r="AE41" s="478"/>
    </row>
    <row r="42" spans="1:31" ht="12" customHeight="1">
      <c r="A42" s="641" t="s">
        <v>250</v>
      </c>
      <c r="B42" s="518"/>
      <c r="C42" s="409"/>
      <c r="D42" s="518">
        <f>B40-D40</f>
        <v>248091.76802166668</v>
      </c>
      <c r="E42" s="518">
        <f>D42-E40</f>
        <v>240249.29320166667</v>
      </c>
      <c r="F42" s="518">
        <f t="shared" ref="F42:AB42" si="24">E42-F40</f>
        <v>232406.81838166667</v>
      </c>
      <c r="G42" s="518">
        <f t="shared" si="24"/>
        <v>224564.34356166667</v>
      </c>
      <c r="H42" s="518">
        <f t="shared" si="24"/>
        <v>216721.86874166667</v>
      </c>
      <c r="I42" s="518">
        <f t="shared" si="24"/>
        <v>209059.526205</v>
      </c>
      <c r="J42" s="518">
        <f t="shared" si="24"/>
        <v>201525.84958499999</v>
      </c>
      <c r="K42" s="518">
        <f t="shared" si="24"/>
        <v>193992.17296499998</v>
      </c>
      <c r="L42" s="518">
        <f t="shared" si="24"/>
        <v>186458.49634499996</v>
      </c>
      <c r="M42" s="518">
        <f t="shared" si="24"/>
        <v>178924.81972499995</v>
      </c>
      <c r="N42" s="518">
        <f t="shared" si="24"/>
        <v>171391.14310499994</v>
      </c>
      <c r="O42" s="518">
        <f t="shared" si="24"/>
        <v>163857.46648499992</v>
      </c>
      <c r="P42" s="518">
        <f t="shared" si="24"/>
        <v>156323.78986499991</v>
      </c>
      <c r="Q42" s="518">
        <f t="shared" si="24"/>
        <v>148790.1132449999</v>
      </c>
      <c r="R42" s="518">
        <f t="shared" si="24"/>
        <v>141256.43662499989</v>
      </c>
      <c r="S42" s="518">
        <f t="shared" si="24"/>
        <v>133722.76000499987</v>
      </c>
      <c r="T42" s="518">
        <f t="shared" si="24"/>
        <v>126189.08338499987</v>
      </c>
      <c r="U42" s="518">
        <f t="shared" si="24"/>
        <v>118655.40676499988</v>
      </c>
      <c r="V42" s="518">
        <f t="shared" si="24"/>
        <v>111121.73014499988</v>
      </c>
      <c r="W42" s="518">
        <f t="shared" si="24"/>
        <v>103588.05352499988</v>
      </c>
      <c r="X42" s="518">
        <f t="shared" si="24"/>
        <v>96054.376904999881</v>
      </c>
      <c r="Y42" s="518">
        <f t="shared" si="24"/>
        <v>88520.700284999883</v>
      </c>
      <c r="Z42" s="518">
        <f t="shared" si="24"/>
        <v>80987.023664999884</v>
      </c>
      <c r="AA42" s="518">
        <f t="shared" si="24"/>
        <v>73453.347044999886</v>
      </c>
      <c r="AB42" s="643">
        <f t="shared" si="24"/>
        <v>65919.670424999887</v>
      </c>
      <c r="AC42" s="638"/>
      <c r="AD42" s="638"/>
      <c r="AE42" s="478"/>
    </row>
    <row r="43" spans="1:31" ht="12" customHeight="1"/>
    <row r="44" spans="1:31" ht="12" customHeight="1">
      <c r="A44" s="624" t="s">
        <v>120</v>
      </c>
      <c r="B44" s="651" t="s">
        <v>0</v>
      </c>
      <c r="C44" s="437"/>
      <c r="D44" s="343">
        <v>1</v>
      </c>
      <c r="E44" s="343">
        <f>D44+1</f>
        <v>2</v>
      </c>
      <c r="F44" s="343">
        <f t="shared" ref="F44:AB44" si="25">E44+1</f>
        <v>3</v>
      </c>
      <c r="G44" s="343">
        <f t="shared" si="25"/>
        <v>4</v>
      </c>
      <c r="H44" s="343">
        <f t="shared" si="25"/>
        <v>5</v>
      </c>
      <c r="I44" s="343">
        <f t="shared" si="25"/>
        <v>6</v>
      </c>
      <c r="J44" s="343">
        <f t="shared" si="25"/>
        <v>7</v>
      </c>
      <c r="K44" s="412">
        <f t="shared" si="25"/>
        <v>8</v>
      </c>
      <c r="L44" s="343">
        <f t="shared" si="25"/>
        <v>9</v>
      </c>
      <c r="M44" s="343">
        <f t="shared" si="25"/>
        <v>10</v>
      </c>
      <c r="N44" s="343">
        <f t="shared" si="25"/>
        <v>11</v>
      </c>
      <c r="O44" s="343">
        <f t="shared" si="25"/>
        <v>12</v>
      </c>
      <c r="P44" s="343">
        <f t="shared" si="25"/>
        <v>13</v>
      </c>
      <c r="Q44" s="412">
        <f t="shared" si="25"/>
        <v>14</v>
      </c>
      <c r="R44" s="343">
        <f t="shared" si="25"/>
        <v>15</v>
      </c>
      <c r="S44" s="343">
        <f t="shared" si="25"/>
        <v>16</v>
      </c>
      <c r="T44" s="343">
        <f t="shared" si="25"/>
        <v>17</v>
      </c>
      <c r="U44" s="343">
        <f t="shared" si="25"/>
        <v>18</v>
      </c>
      <c r="V44" s="343">
        <f t="shared" si="25"/>
        <v>19</v>
      </c>
      <c r="W44" s="412">
        <f t="shared" si="25"/>
        <v>20</v>
      </c>
      <c r="X44" s="343">
        <f t="shared" si="25"/>
        <v>21</v>
      </c>
      <c r="Y44" s="343">
        <f t="shared" si="25"/>
        <v>22</v>
      </c>
      <c r="Z44" s="343">
        <f t="shared" si="25"/>
        <v>23</v>
      </c>
      <c r="AA44" s="343">
        <f t="shared" si="25"/>
        <v>24</v>
      </c>
      <c r="AB44" s="344">
        <f t="shared" si="25"/>
        <v>25</v>
      </c>
      <c r="AC44" s="35"/>
      <c r="AE44" s="629"/>
    </row>
    <row r="45" spans="1:31" ht="12" customHeight="1">
      <c r="A45" s="188" t="s">
        <v>259</v>
      </c>
      <c r="B45" s="425">
        <f>'Project Assumptions'!U6*AssessedValueMultiplier</f>
        <v>5721.1142527978573</v>
      </c>
      <c r="C45" s="645"/>
      <c r="D45" s="646">
        <v>1</v>
      </c>
      <c r="E45" s="646">
        <v>1</v>
      </c>
      <c r="F45" s="646">
        <v>1</v>
      </c>
      <c r="G45" s="646">
        <v>1</v>
      </c>
      <c r="H45" s="646">
        <v>1</v>
      </c>
      <c r="I45" s="646">
        <v>0.88</v>
      </c>
      <c r="J45" s="646">
        <v>0.88</v>
      </c>
      <c r="K45" s="646">
        <v>0.88</v>
      </c>
      <c r="L45" s="646">
        <v>0.88</v>
      </c>
      <c r="M45" s="646">
        <v>0.76</v>
      </c>
      <c r="N45" s="646">
        <v>0.76</v>
      </c>
      <c r="O45" s="646">
        <v>0.76</v>
      </c>
      <c r="P45" s="646">
        <v>0.76</v>
      </c>
      <c r="Q45" s="646">
        <v>0.64</v>
      </c>
      <c r="R45" s="646">
        <v>0.64</v>
      </c>
      <c r="S45" s="646">
        <v>0.64</v>
      </c>
      <c r="T45" s="646">
        <v>0.64</v>
      </c>
      <c r="U45" s="646">
        <v>0.52</v>
      </c>
      <c r="V45" s="646">
        <v>0.52</v>
      </c>
      <c r="W45" s="646">
        <v>0.52</v>
      </c>
      <c r="X45" s="646">
        <v>0.52</v>
      </c>
      <c r="Y45" s="646">
        <v>1</v>
      </c>
      <c r="Z45" s="646">
        <v>1</v>
      </c>
      <c r="AA45" s="646">
        <v>1</v>
      </c>
      <c r="AB45" s="647">
        <v>1</v>
      </c>
      <c r="AC45" s="652"/>
      <c r="AD45" s="633"/>
      <c r="AE45" s="634"/>
    </row>
    <row r="46" spans="1:31" ht="11.25" customHeight="1">
      <c r="A46" s="188" t="s">
        <v>255</v>
      </c>
      <c r="B46" s="506"/>
      <c r="C46" s="33"/>
      <c r="D46" s="43">
        <f t="shared" ref="D46:AB46" si="26">$B$45*D45</f>
        <v>5721.1142527978573</v>
      </c>
      <c r="E46" s="43">
        <f t="shared" si="26"/>
        <v>5721.1142527978573</v>
      </c>
      <c r="F46" s="43">
        <f t="shared" si="26"/>
        <v>5721.1142527978573</v>
      </c>
      <c r="G46" s="43">
        <f t="shared" si="26"/>
        <v>5721.1142527978573</v>
      </c>
      <c r="H46" s="43">
        <f t="shared" si="26"/>
        <v>5721.1142527978573</v>
      </c>
      <c r="I46" s="43">
        <f t="shared" si="26"/>
        <v>5034.5805424621149</v>
      </c>
      <c r="J46" s="43">
        <f t="shared" si="26"/>
        <v>5034.5805424621149</v>
      </c>
      <c r="K46" s="43">
        <f t="shared" si="26"/>
        <v>5034.5805424621149</v>
      </c>
      <c r="L46" s="43">
        <f t="shared" si="26"/>
        <v>5034.5805424621149</v>
      </c>
      <c r="M46" s="43">
        <f t="shared" si="26"/>
        <v>4348.0468321263716</v>
      </c>
      <c r="N46" s="43">
        <f t="shared" si="26"/>
        <v>4348.0468321263716</v>
      </c>
      <c r="O46" s="43">
        <f t="shared" si="26"/>
        <v>4348.0468321263716</v>
      </c>
      <c r="P46" s="43">
        <f t="shared" si="26"/>
        <v>4348.0468321263716</v>
      </c>
      <c r="Q46" s="43">
        <f t="shared" si="26"/>
        <v>3661.5131217906287</v>
      </c>
      <c r="R46" s="43">
        <f t="shared" si="26"/>
        <v>3661.5131217906287</v>
      </c>
      <c r="S46" s="43">
        <f t="shared" si="26"/>
        <v>3661.5131217906287</v>
      </c>
      <c r="T46" s="43">
        <f t="shared" si="26"/>
        <v>3661.5131217906287</v>
      </c>
      <c r="U46" s="43">
        <f t="shared" si="26"/>
        <v>2974.9794114548858</v>
      </c>
      <c r="V46" s="43">
        <f t="shared" si="26"/>
        <v>2974.9794114548858</v>
      </c>
      <c r="W46" s="43">
        <f t="shared" si="26"/>
        <v>2974.9794114548858</v>
      </c>
      <c r="X46" s="43">
        <f t="shared" si="26"/>
        <v>2974.9794114548858</v>
      </c>
      <c r="Y46" s="43">
        <f t="shared" si="26"/>
        <v>5721.1142527978573</v>
      </c>
      <c r="Z46" s="43">
        <f t="shared" si="26"/>
        <v>5721.1142527978573</v>
      </c>
      <c r="AA46" s="43">
        <f t="shared" si="26"/>
        <v>5721.1142527978573</v>
      </c>
      <c r="AB46" s="416">
        <f t="shared" si="26"/>
        <v>5721.1142527978573</v>
      </c>
      <c r="AC46" s="478"/>
    </row>
    <row r="47" spans="1:31" ht="11.25" customHeight="1">
      <c r="A47" s="188"/>
      <c r="B47" s="506"/>
      <c r="C47" s="33"/>
      <c r="D47" s="43"/>
      <c r="E47" s="43"/>
      <c r="F47" s="43"/>
      <c r="G47" s="43"/>
      <c r="H47" s="43"/>
      <c r="I47" s="43"/>
      <c r="J47" s="43"/>
      <c r="K47" s="43"/>
      <c r="L47" s="43"/>
      <c r="M47" s="43"/>
      <c r="N47" s="43"/>
      <c r="O47" s="43"/>
      <c r="P47" s="43"/>
      <c r="Q47" s="43"/>
      <c r="R47" s="43"/>
      <c r="S47" s="43"/>
      <c r="T47" s="43"/>
      <c r="U47" s="43"/>
      <c r="V47" s="43"/>
      <c r="W47" s="43"/>
      <c r="X47" s="43"/>
      <c r="Y47" s="43"/>
      <c r="Z47" s="43"/>
      <c r="AA47" s="43"/>
      <c r="AB47" s="416"/>
      <c r="AC47" s="478"/>
    </row>
    <row r="48" spans="1:31" ht="11.25" customHeight="1">
      <c r="A48" s="188" t="s">
        <v>427</v>
      </c>
      <c r="B48" s="44"/>
      <c r="C48" s="33"/>
      <c r="D48" s="631">
        <f>SchoolMillageTaxRate</f>
        <v>6.1154E-2</v>
      </c>
      <c r="E48" s="631">
        <f>SchoolMillageTaxRate</f>
        <v>6.1154E-2</v>
      </c>
      <c r="F48" s="631">
        <f>E48*(1.015)</f>
        <v>6.2071309999999991E-2</v>
      </c>
      <c r="G48" s="631">
        <f t="shared" ref="G48:AB48" si="27">F48*(1.015)</f>
        <v>6.3002379649999982E-2</v>
      </c>
      <c r="H48" s="631">
        <f t="shared" si="27"/>
        <v>6.3947415344749972E-2</v>
      </c>
      <c r="I48" s="631">
        <f t="shared" si="27"/>
        <v>6.4906626574921217E-2</v>
      </c>
      <c r="J48" s="631">
        <f t="shared" si="27"/>
        <v>6.5880225973545023E-2</v>
      </c>
      <c r="K48" s="631">
        <f t="shared" si="27"/>
        <v>6.6868429363148185E-2</v>
      </c>
      <c r="L48" s="631">
        <f t="shared" si="27"/>
        <v>6.7871455803595396E-2</v>
      </c>
      <c r="M48" s="631">
        <f t="shared" si="27"/>
        <v>6.8889527640649317E-2</v>
      </c>
      <c r="N48" s="631">
        <f t="shared" si="27"/>
        <v>6.9922870555259045E-2</v>
      </c>
      <c r="O48" s="631">
        <f t="shared" si="27"/>
        <v>7.0971713613587922E-2</v>
      </c>
      <c r="P48" s="631">
        <f t="shared" si="27"/>
        <v>7.2036289317791741E-2</v>
      </c>
      <c r="Q48" s="631">
        <f t="shared" si="27"/>
        <v>7.3116833657558611E-2</v>
      </c>
      <c r="R48" s="631">
        <f t="shared" si="27"/>
        <v>7.4213586162421977E-2</v>
      </c>
      <c r="S48" s="631">
        <f t="shared" si="27"/>
        <v>7.5326789954858295E-2</v>
      </c>
      <c r="T48" s="631">
        <f t="shared" si="27"/>
        <v>7.6456691804181159E-2</v>
      </c>
      <c r="U48" s="631">
        <f t="shared" si="27"/>
        <v>7.7603542181243865E-2</v>
      </c>
      <c r="V48" s="631">
        <f t="shared" si="27"/>
        <v>7.8767595313962518E-2</v>
      </c>
      <c r="W48" s="631">
        <f t="shared" si="27"/>
        <v>7.9949109243671948E-2</v>
      </c>
      <c r="X48" s="631">
        <f t="shared" si="27"/>
        <v>8.1148345882327014E-2</v>
      </c>
      <c r="Y48" s="631">
        <f t="shared" si="27"/>
        <v>8.2365571070561916E-2</v>
      </c>
      <c r="Z48" s="631">
        <f t="shared" si="27"/>
        <v>8.3601054636620334E-2</v>
      </c>
      <c r="AA48" s="631">
        <f t="shared" si="27"/>
        <v>8.4855070456169635E-2</v>
      </c>
      <c r="AB48" s="632">
        <f t="shared" si="27"/>
        <v>8.612789651301217E-2</v>
      </c>
      <c r="AC48" s="478"/>
      <c r="AD48" s="638"/>
      <c r="AE48" s="638"/>
    </row>
    <row r="49" spans="1:31" ht="12" customHeight="1">
      <c r="A49" s="188" t="s">
        <v>424</v>
      </c>
      <c r="B49" s="630"/>
      <c r="C49" s="653">
        <f>AVERAGE(D49:X49)</f>
        <v>269.89895906917718</v>
      </c>
      <c r="D49" s="425">
        <f>SchoolMillageTaxRate*Depreciation!D46</f>
        <v>349.86902101560014</v>
      </c>
      <c r="E49" s="425">
        <f>SchoolMillageTaxRate*Depreciation!E46</f>
        <v>349.86902101560014</v>
      </c>
      <c r="F49" s="425">
        <f>IF(F4&gt;ProjectLife+1,0,SchoolMillageTaxRate*Depreciation!F46)</f>
        <v>349.86902101560014</v>
      </c>
      <c r="G49" s="425">
        <f>IF(G4&gt;ProjectLife+1,0,SchoolMillageTaxRate*Depreciation!G46)</f>
        <v>349.86902101560014</v>
      </c>
      <c r="H49" s="425">
        <f>IF(H4&gt;ProjectLife+1,0,SchoolMillageTaxRate*Depreciation!H46)</f>
        <v>349.86902101560014</v>
      </c>
      <c r="I49" s="425">
        <f>IF(I4&gt;ProjectLife+1,0,SchoolMillageTaxRate*Depreciation!I46)</f>
        <v>307.88473849372815</v>
      </c>
      <c r="J49" s="425">
        <f>IF(J4&gt;ProjectLife+1,0,SchoolMillageTaxRate*Depreciation!J46)</f>
        <v>307.88473849372815</v>
      </c>
      <c r="K49" s="425">
        <f>IF(K4&gt;ProjectLife+1,0,SchoolMillageTaxRate*Depreciation!K46)</f>
        <v>307.88473849372815</v>
      </c>
      <c r="L49" s="425">
        <f>IF(L4&gt;ProjectLife+1,0,SchoolMillageTaxRate*Depreciation!L46)</f>
        <v>307.88473849372815</v>
      </c>
      <c r="M49" s="425">
        <f>IF(M4&gt;ProjectLife+1,0,SchoolMillageTaxRate*Depreciation!M46)</f>
        <v>265.9004559718561</v>
      </c>
      <c r="N49" s="425">
        <f>IF(N4&gt;ProjectLife+1,0,SchoolMillageTaxRate*Depreciation!N46)</f>
        <v>265.9004559718561</v>
      </c>
      <c r="O49" s="425">
        <f>IF(O4&gt;ProjectLife+1,0,SchoolMillageTaxRate*Depreciation!O46)</f>
        <v>265.9004559718561</v>
      </c>
      <c r="P49" s="425">
        <f>IF(P4&gt;ProjectLife+1,0,SchoolMillageTaxRate*Depreciation!P46)</f>
        <v>265.9004559718561</v>
      </c>
      <c r="Q49" s="425">
        <f>IF(Q4&gt;ProjectLife+1,0,SchoolMillageTaxRate*Depreciation!Q46)</f>
        <v>223.91617344998411</v>
      </c>
      <c r="R49" s="425">
        <f>IF(R4&gt;ProjectLife+1,0,SchoolMillageTaxRate*Depreciation!R46)</f>
        <v>223.91617344998411</v>
      </c>
      <c r="S49" s="425">
        <f>IF(S4&gt;ProjectLife+1,0,SchoolMillageTaxRate*Depreciation!S46)</f>
        <v>223.91617344998411</v>
      </c>
      <c r="T49" s="425">
        <f>IF(T4&gt;ProjectLife+1,0,SchoolMillageTaxRate*Depreciation!T46)</f>
        <v>223.91617344998411</v>
      </c>
      <c r="U49" s="425">
        <f>IF(U4&gt;ProjectLife+1,0,SchoolMillageTaxRate*Depreciation!U46)</f>
        <v>181.9318909281121</v>
      </c>
      <c r="V49" s="425">
        <f>IF(V4&gt;ProjectLife+1,0,SchoolMillageTaxRate*Depreciation!V46)</f>
        <v>181.9318909281121</v>
      </c>
      <c r="W49" s="425">
        <f>IF(W4&gt;ProjectLife+1,0,SchoolMillageTaxRate*Depreciation!W46)</f>
        <v>181.9318909281121</v>
      </c>
      <c r="X49" s="425">
        <f>IF(X4&gt;ProjectLife+1,0,SchoolMillageTaxRate*Depreciation!X46)</f>
        <v>181.9318909281121</v>
      </c>
      <c r="Y49" s="425">
        <f>IF(Y4&gt;ProjectLife+1,0,SchoolMillageTaxRate*Depreciation!Y46)</f>
        <v>0</v>
      </c>
      <c r="Z49" s="425">
        <f>IF(Z4&gt;ProjectLife+1,0,SchoolMillageTaxRate*Depreciation!Z46)</f>
        <v>0</v>
      </c>
      <c r="AA49" s="425">
        <f>IF(AA4&gt;ProjectLife+1,0,SchoolMillageTaxRate*Depreciation!AA46)</f>
        <v>0</v>
      </c>
      <c r="AB49" s="637">
        <f>IF(AB4&gt;ProjectLife+1,0,SchoolMillageTaxRate*Depreciation!AB46)</f>
        <v>0</v>
      </c>
      <c r="AC49" s="42"/>
      <c r="AD49" s="633"/>
      <c r="AE49" s="634"/>
    </row>
    <row r="50" spans="1:31" ht="12" customHeight="1">
      <c r="A50" s="188" t="s">
        <v>270</v>
      </c>
      <c r="B50" s="654"/>
      <c r="C50" s="33"/>
      <c r="D50" s="481">
        <v>0</v>
      </c>
      <c r="E50" s="481">
        <v>0</v>
      </c>
      <c r="F50" s="481">
        <v>0</v>
      </c>
      <c r="G50" s="481">
        <v>0</v>
      </c>
      <c r="H50" s="481">
        <v>0</v>
      </c>
      <c r="I50" s="481">
        <v>0</v>
      </c>
      <c r="J50" s="481">
        <v>0</v>
      </c>
      <c r="K50" s="481">
        <v>0</v>
      </c>
      <c r="L50" s="481">
        <v>0</v>
      </c>
      <c r="M50" s="481">
        <v>0</v>
      </c>
      <c r="N50" s="481">
        <v>0</v>
      </c>
      <c r="O50" s="481">
        <v>0</v>
      </c>
      <c r="P50" s="481">
        <v>0</v>
      </c>
      <c r="Q50" s="481">
        <v>0</v>
      </c>
      <c r="R50" s="481">
        <v>0</v>
      </c>
      <c r="S50" s="481">
        <v>0</v>
      </c>
      <c r="T50" s="481">
        <v>0</v>
      </c>
      <c r="U50" s="481">
        <v>0</v>
      </c>
      <c r="V50" s="481">
        <v>0</v>
      </c>
      <c r="W50" s="481">
        <v>0</v>
      </c>
      <c r="X50" s="481">
        <v>0</v>
      </c>
      <c r="Y50" s="481">
        <v>0</v>
      </c>
      <c r="Z50" s="481">
        <v>0</v>
      </c>
      <c r="AA50" s="481">
        <v>0</v>
      </c>
      <c r="AB50" s="516">
        <v>0</v>
      </c>
      <c r="AC50" s="655"/>
      <c r="AD50" s="633"/>
      <c r="AE50" s="634"/>
    </row>
    <row r="51" spans="1:31">
      <c r="A51" s="452" t="s">
        <v>269</v>
      </c>
      <c r="B51" s="409"/>
      <c r="C51" s="409"/>
      <c r="D51" s="656">
        <f t="shared" ref="D51:AB51" si="28">SUM(D49:D50)</f>
        <v>349.86902101560014</v>
      </c>
      <c r="E51" s="656">
        <f t="shared" si="28"/>
        <v>349.86902101560014</v>
      </c>
      <c r="F51" s="656">
        <f t="shared" si="28"/>
        <v>349.86902101560014</v>
      </c>
      <c r="G51" s="656">
        <f t="shared" si="28"/>
        <v>349.86902101560014</v>
      </c>
      <c r="H51" s="656">
        <f t="shared" si="28"/>
        <v>349.86902101560014</v>
      </c>
      <c r="I51" s="656">
        <f t="shared" si="28"/>
        <v>307.88473849372815</v>
      </c>
      <c r="J51" s="656">
        <f t="shared" si="28"/>
        <v>307.88473849372815</v>
      </c>
      <c r="K51" s="656">
        <f t="shared" si="28"/>
        <v>307.88473849372815</v>
      </c>
      <c r="L51" s="656">
        <f t="shared" si="28"/>
        <v>307.88473849372815</v>
      </c>
      <c r="M51" s="656">
        <f t="shared" si="28"/>
        <v>265.9004559718561</v>
      </c>
      <c r="N51" s="656">
        <f t="shared" si="28"/>
        <v>265.9004559718561</v>
      </c>
      <c r="O51" s="656">
        <f t="shared" si="28"/>
        <v>265.9004559718561</v>
      </c>
      <c r="P51" s="656">
        <f t="shared" si="28"/>
        <v>265.9004559718561</v>
      </c>
      <c r="Q51" s="656">
        <f t="shared" si="28"/>
        <v>223.91617344998411</v>
      </c>
      <c r="R51" s="656">
        <f t="shared" si="28"/>
        <v>223.91617344998411</v>
      </c>
      <c r="S51" s="656">
        <f t="shared" si="28"/>
        <v>223.91617344998411</v>
      </c>
      <c r="T51" s="656">
        <f t="shared" si="28"/>
        <v>223.91617344998411</v>
      </c>
      <c r="U51" s="656">
        <f t="shared" si="28"/>
        <v>181.9318909281121</v>
      </c>
      <c r="V51" s="656">
        <f t="shared" si="28"/>
        <v>181.9318909281121</v>
      </c>
      <c r="W51" s="656">
        <f t="shared" si="28"/>
        <v>181.9318909281121</v>
      </c>
      <c r="X51" s="656">
        <f t="shared" si="28"/>
        <v>181.9318909281121</v>
      </c>
      <c r="Y51" s="656">
        <f t="shared" si="28"/>
        <v>0</v>
      </c>
      <c r="Z51" s="656">
        <f t="shared" si="28"/>
        <v>0</v>
      </c>
      <c r="AA51" s="656">
        <f t="shared" si="28"/>
        <v>0</v>
      </c>
      <c r="AB51" s="657">
        <f t="shared" si="28"/>
        <v>0</v>
      </c>
      <c r="AC51" s="658"/>
    </row>
    <row r="52" spans="1:31" ht="11.25" customHeight="1">
      <c r="A52" s="41"/>
      <c r="B52" s="659"/>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633"/>
      <c r="AD52" s="633"/>
      <c r="AE52" s="634"/>
    </row>
    <row r="53" spans="1:31" ht="13.5" customHeight="1">
      <c r="A53" s="41"/>
      <c r="B53" s="638"/>
      <c r="D53" s="638"/>
      <c r="E53" s="638"/>
      <c r="F53" s="638"/>
      <c r="G53" s="638"/>
      <c r="H53" s="638"/>
      <c r="I53" s="638"/>
      <c r="J53" s="638"/>
      <c r="K53" s="638"/>
      <c r="L53" s="638"/>
      <c r="M53" s="638"/>
      <c r="N53" s="638"/>
      <c r="O53" s="638"/>
      <c r="P53" s="638"/>
      <c r="Q53" s="638"/>
      <c r="R53" s="638"/>
      <c r="S53" s="638"/>
      <c r="T53" s="638"/>
      <c r="U53" s="638"/>
      <c r="V53" s="638"/>
      <c r="W53" s="638"/>
      <c r="X53" s="638"/>
      <c r="Y53" s="638"/>
      <c r="Z53" s="638"/>
      <c r="AA53" s="638"/>
      <c r="AB53" s="638"/>
      <c r="AC53" s="638"/>
      <c r="AD53" s="638"/>
      <c r="AE53" s="478"/>
    </row>
    <row r="54" spans="1:31" ht="13.5" customHeight="1">
      <c r="A54" s="660" t="s">
        <v>74</v>
      </c>
      <c r="B54" s="661"/>
      <c r="D54" s="638"/>
      <c r="E54" s="638"/>
      <c r="F54" s="638"/>
      <c r="G54" s="638"/>
      <c r="H54" s="638"/>
      <c r="I54" s="638"/>
      <c r="J54" s="638"/>
      <c r="K54" s="638"/>
      <c r="L54" s="638"/>
      <c r="M54" s="638"/>
      <c r="N54" s="638"/>
      <c r="O54" s="638"/>
      <c r="P54" s="638"/>
      <c r="Q54" s="638"/>
      <c r="R54" s="638"/>
      <c r="S54" s="638"/>
      <c r="T54" s="638"/>
      <c r="U54" s="638"/>
      <c r="V54" s="638"/>
      <c r="W54" s="638"/>
      <c r="X54" s="638"/>
      <c r="Y54" s="638"/>
      <c r="Z54" s="638"/>
      <c r="AA54" s="638"/>
      <c r="AB54" s="638"/>
      <c r="AC54" s="638"/>
      <c r="AD54" s="638"/>
      <c r="AE54" s="478"/>
    </row>
    <row r="55" spans="1:31" ht="13.5" customHeight="1" outlineLevel="1">
      <c r="A55" s="27" t="s">
        <v>75</v>
      </c>
      <c r="B55" s="27"/>
      <c r="D55" s="638"/>
      <c r="E55" s="638"/>
      <c r="F55" s="638"/>
      <c r="G55" s="638"/>
      <c r="H55" s="638"/>
      <c r="I55" s="638"/>
      <c r="J55" s="638"/>
      <c r="K55" s="638"/>
      <c r="L55" s="638"/>
      <c r="M55" s="638"/>
      <c r="N55" s="638"/>
      <c r="O55" s="638"/>
      <c r="P55" s="638"/>
      <c r="Q55" s="638"/>
      <c r="R55" s="638"/>
      <c r="S55" s="638"/>
      <c r="T55" s="638"/>
      <c r="U55" s="638"/>
      <c r="V55" s="638"/>
      <c r="W55" s="638"/>
      <c r="X55" s="638"/>
      <c r="Y55" s="638"/>
      <c r="Z55" s="638"/>
      <c r="AA55" s="638"/>
      <c r="AB55" s="638"/>
      <c r="AC55" s="638"/>
      <c r="AD55" s="638"/>
      <c r="AE55" s="478"/>
    </row>
    <row r="56" spans="1:31" ht="13.5" customHeight="1" outlineLevel="1">
      <c r="A56" s="27" t="s">
        <v>6</v>
      </c>
      <c r="B56" s="661" t="s">
        <v>76</v>
      </c>
    </row>
    <row r="57" spans="1:31" ht="13.5" customHeight="1" outlineLevel="1">
      <c r="A57" s="27">
        <v>1</v>
      </c>
      <c r="B57" s="662">
        <v>0.05</v>
      </c>
    </row>
    <row r="58" spans="1:31" ht="13.5" customHeight="1" outlineLevel="1">
      <c r="A58" s="27">
        <v>2</v>
      </c>
      <c r="B58" s="662">
        <v>9.5000000000000001E-2</v>
      </c>
    </row>
    <row r="59" spans="1:31" ht="13.5" customHeight="1" outlineLevel="1">
      <c r="A59" s="27">
        <v>3</v>
      </c>
      <c r="B59" s="662">
        <v>8.5500000000000007E-2</v>
      </c>
    </row>
    <row r="60" spans="1:31" ht="13.5" customHeight="1" outlineLevel="1">
      <c r="A60" s="27">
        <v>4</v>
      </c>
      <c r="B60" s="662">
        <v>7.6999999999999999E-2</v>
      </c>
    </row>
    <row r="61" spans="1:31" ht="13.5" customHeight="1" outlineLevel="1">
      <c r="A61" s="27">
        <v>5</v>
      </c>
      <c r="B61" s="662">
        <v>6.93E-2</v>
      </c>
    </row>
    <row r="62" spans="1:31" ht="13.5" customHeight="1" outlineLevel="1">
      <c r="A62" s="27">
        <v>6</v>
      </c>
      <c r="B62" s="662">
        <v>6.2300000000000001E-2</v>
      </c>
    </row>
    <row r="63" spans="1:31" ht="13.5" customHeight="1" outlineLevel="1">
      <c r="A63" s="27">
        <v>7</v>
      </c>
      <c r="B63" s="662">
        <v>5.8999999999999997E-2</v>
      </c>
    </row>
    <row r="64" spans="1:31" ht="13.5" customHeight="1" outlineLevel="1">
      <c r="A64" s="27">
        <v>8</v>
      </c>
      <c r="B64" s="662">
        <v>5.91E-2</v>
      </c>
    </row>
    <row r="65" spans="1:2" ht="13.5" customHeight="1" outlineLevel="1">
      <c r="A65" s="27">
        <v>9</v>
      </c>
      <c r="B65" s="662">
        <v>5.8999999999999997E-2</v>
      </c>
    </row>
    <row r="66" spans="1:2" ht="13.5" customHeight="1" outlineLevel="1">
      <c r="A66" s="27">
        <v>10</v>
      </c>
      <c r="B66" s="662">
        <v>5.91E-2</v>
      </c>
    </row>
    <row r="67" spans="1:2" ht="13.5" customHeight="1" outlineLevel="1">
      <c r="A67" s="27">
        <v>11</v>
      </c>
      <c r="B67" s="662">
        <v>5.8999999999999997E-2</v>
      </c>
    </row>
    <row r="68" spans="1:2" ht="12.75" outlineLevel="1">
      <c r="A68" s="27">
        <v>12</v>
      </c>
      <c r="B68" s="662">
        <v>5.91E-2</v>
      </c>
    </row>
    <row r="69" spans="1:2" ht="12.75" outlineLevel="1">
      <c r="A69" s="27">
        <v>13</v>
      </c>
      <c r="B69" s="662">
        <v>5.8999999999999997E-2</v>
      </c>
    </row>
    <row r="70" spans="1:2" ht="12.75" outlineLevel="1">
      <c r="A70" s="27">
        <v>14</v>
      </c>
      <c r="B70" s="662">
        <v>5.91E-2</v>
      </c>
    </row>
    <row r="71" spans="1:2" ht="12.75" outlineLevel="1">
      <c r="A71" s="27">
        <v>15</v>
      </c>
      <c r="B71" s="662">
        <v>5.8999999999999997E-2</v>
      </c>
    </row>
    <row r="72" spans="1:2" ht="12.75" outlineLevel="1">
      <c r="A72" s="27">
        <v>16</v>
      </c>
      <c r="B72" s="663">
        <v>2.9499999999999998E-2</v>
      </c>
    </row>
    <row r="73" spans="1:2">
      <c r="B73" s="664">
        <f>SUM(B57:B72)</f>
        <v>1.0000000000000004</v>
      </c>
    </row>
    <row r="74" spans="1:2" ht="12.75">
      <c r="A74" s="660" t="s">
        <v>77</v>
      </c>
      <c r="B74" s="27"/>
    </row>
    <row r="75" spans="1:2" ht="12.75" hidden="1" outlineLevel="1">
      <c r="A75" s="27" t="s">
        <v>75</v>
      </c>
      <c r="B75" s="27"/>
    </row>
    <row r="76" spans="1:2" ht="12.75" hidden="1" outlineLevel="1">
      <c r="A76" s="27" t="s">
        <v>6</v>
      </c>
      <c r="B76" s="27" t="s">
        <v>76</v>
      </c>
    </row>
    <row r="77" spans="1:2" ht="12.75" hidden="1" outlineLevel="1">
      <c r="A77" s="27">
        <v>1</v>
      </c>
      <c r="B77" s="665">
        <v>3.7499999999999999E-2</v>
      </c>
    </row>
    <row r="78" spans="1:2" ht="12.75" hidden="1" outlineLevel="1">
      <c r="A78" s="27">
        <v>2</v>
      </c>
      <c r="B78" s="665">
        <v>7.2190000000000004E-2</v>
      </c>
    </row>
    <row r="79" spans="1:2" ht="12.75" hidden="1" outlineLevel="1">
      <c r="A79" s="27">
        <v>3</v>
      </c>
      <c r="B79" s="665">
        <v>6.6769999999999996E-2</v>
      </c>
    </row>
    <row r="80" spans="1:2" ht="12.75" hidden="1" outlineLevel="1">
      <c r="A80" s="27">
        <v>4</v>
      </c>
      <c r="B80" s="665">
        <v>6.1769999999999999E-2</v>
      </c>
    </row>
    <row r="81" spans="1:2" ht="12.75" hidden="1" outlineLevel="1">
      <c r="A81" s="27">
        <v>5</v>
      </c>
      <c r="B81" s="665">
        <v>5.713E-2</v>
      </c>
    </row>
    <row r="82" spans="1:2" ht="12.75" hidden="1" outlineLevel="1">
      <c r="A82" s="27">
        <v>6</v>
      </c>
      <c r="B82" s="665">
        <v>5.2850000000000001E-2</v>
      </c>
    </row>
    <row r="83" spans="1:2" ht="12.75" hidden="1" outlineLevel="1">
      <c r="A83" s="27">
        <v>7</v>
      </c>
      <c r="B83" s="665">
        <v>4.888E-2</v>
      </c>
    </row>
    <row r="84" spans="1:2" ht="12.75" hidden="1" outlineLevel="1">
      <c r="A84" s="27">
        <v>8</v>
      </c>
      <c r="B84" s="665">
        <v>4.5220000000000003E-2</v>
      </c>
    </row>
    <row r="85" spans="1:2" ht="12.75" hidden="1" outlineLevel="1">
      <c r="A85" s="27">
        <v>9</v>
      </c>
      <c r="B85" s="665">
        <v>4.462E-2</v>
      </c>
    </row>
    <row r="86" spans="1:2" ht="12.75" hidden="1" outlineLevel="1">
      <c r="A86" s="27">
        <v>10</v>
      </c>
      <c r="B86" s="665">
        <v>4.4609999999999997E-2</v>
      </c>
    </row>
    <row r="87" spans="1:2" ht="12.75" hidden="1" outlineLevel="1">
      <c r="A87" s="27">
        <v>11</v>
      </c>
      <c r="B87" s="665">
        <v>4.462E-2</v>
      </c>
    </row>
    <row r="88" spans="1:2" ht="12.75" hidden="1" outlineLevel="1">
      <c r="A88" s="27">
        <v>12</v>
      </c>
      <c r="B88" s="665">
        <v>4.4609999999999997E-2</v>
      </c>
    </row>
    <row r="89" spans="1:2" ht="12.75" hidden="1" outlineLevel="1">
      <c r="A89" s="27">
        <v>13</v>
      </c>
      <c r="B89" s="665">
        <v>4.462E-2</v>
      </c>
    </row>
    <row r="90" spans="1:2" ht="12.75" hidden="1" outlineLevel="1">
      <c r="A90" s="27">
        <v>14</v>
      </c>
      <c r="B90" s="665">
        <v>4.4609999999999997E-2</v>
      </c>
    </row>
    <row r="91" spans="1:2" ht="12.75" hidden="1" outlineLevel="1">
      <c r="A91" s="27">
        <v>15</v>
      </c>
      <c r="B91" s="665">
        <v>4.462E-2</v>
      </c>
    </row>
    <row r="92" spans="1:2" ht="12.75" hidden="1" outlineLevel="1">
      <c r="A92" s="27">
        <v>16</v>
      </c>
      <c r="B92" s="665">
        <v>4.4609999999999997E-2</v>
      </c>
    </row>
    <row r="93" spans="1:2" ht="12.75" hidden="1" outlineLevel="1">
      <c r="A93" s="27">
        <v>17</v>
      </c>
      <c r="B93" s="665">
        <v>4.462E-2</v>
      </c>
    </row>
    <row r="94" spans="1:2" ht="12.75" hidden="1" outlineLevel="1">
      <c r="A94" s="27">
        <v>18</v>
      </c>
      <c r="B94" s="665">
        <v>4.4609999999999997E-2</v>
      </c>
    </row>
    <row r="95" spans="1:2" ht="12.75" hidden="1" outlineLevel="1">
      <c r="A95" s="27">
        <v>19</v>
      </c>
      <c r="B95" s="665">
        <v>4.462E-2</v>
      </c>
    </row>
    <row r="96" spans="1:2" ht="12.75" hidden="1" outlineLevel="1">
      <c r="A96" s="27">
        <v>20</v>
      </c>
      <c r="B96" s="665">
        <v>4.4609999999999997E-2</v>
      </c>
    </row>
    <row r="97" spans="1:2" ht="12.75" hidden="1" outlineLevel="1">
      <c r="A97" s="27">
        <v>21</v>
      </c>
      <c r="B97" s="665">
        <v>2.2499999999999999E-2</v>
      </c>
    </row>
    <row r="98" spans="1:2" collapsed="1"/>
  </sheetData>
  <customSheetViews>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1"/>
      <headerFooter alignWithMargins="0">
        <oddFooter>&amp;L&amp;D   &amp;T&amp;RO:\Naes\GenSvcs\Tva\Tva Models\&amp;F
&amp;A   &amp;P</oddFooter>
      </headerFooter>
    </customSheetView>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2"/>
      <headerFooter alignWithMargins="0">
        <oddFooter>&amp;L&amp;D   &amp;T&amp;RO:\Naes\GenSvcs\TVA\TVA Model\&amp;F
&amp;A &amp;P</oddFooter>
      </headerFooter>
    </customSheetView>
  </customSheetViews>
  <pageMargins left="0.25" right="0.25" top="0.25" bottom="0.5" header="0" footer="0"/>
  <pageSetup paperSize="5" scale="58"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zoomScaleNormal="75" workbookViewId="0"/>
  </sheetViews>
  <sheetFormatPr defaultColWidth="10.5703125" defaultRowHeight="11.25"/>
  <cols>
    <col min="1" max="1" width="10.5703125" style="561"/>
    <col min="2" max="2" width="18.28515625" style="561" bestFit="1" customWidth="1"/>
    <col min="3" max="3" width="9.140625" style="561" bestFit="1" customWidth="1"/>
    <col min="4" max="4" width="17.85546875" style="561" customWidth="1"/>
    <col min="5" max="5" width="14.28515625" style="561" bestFit="1" customWidth="1"/>
    <col min="6" max="6" width="17" style="561" bestFit="1" customWidth="1"/>
    <col min="7" max="7" width="10.5703125" style="561"/>
    <col min="8" max="8" width="12.28515625" style="561" bestFit="1" customWidth="1"/>
    <col min="9" max="9" width="7.28515625" style="561" bestFit="1" customWidth="1"/>
    <col min="10" max="16384" width="10.5703125" style="561"/>
  </cols>
  <sheetData>
    <row r="1" spans="1:32" ht="20.25">
      <c r="A1" s="486" t="str">
        <f>'Project Assumptions'!$A$2</f>
        <v>WILTON CENTER, Will County, IL</v>
      </c>
      <c r="B1" s="487"/>
      <c r="C1" s="557"/>
      <c r="D1" s="558"/>
      <c r="E1" s="559"/>
      <c r="F1" s="560"/>
      <c r="G1" s="560"/>
      <c r="H1" s="560"/>
      <c r="I1" s="559"/>
    </row>
    <row r="2" spans="1:32" ht="12.75">
      <c r="A2" s="490" t="s">
        <v>48</v>
      </c>
      <c r="B2" s="562"/>
      <c r="C2" s="562"/>
      <c r="D2" s="563"/>
      <c r="E2" s="559"/>
      <c r="F2" s="560"/>
      <c r="G2" s="560"/>
      <c r="H2" s="560"/>
      <c r="I2" s="559"/>
    </row>
    <row r="3" spans="1:32" ht="12.75">
      <c r="A3" s="28"/>
      <c r="B3" s="564"/>
      <c r="C3" s="559"/>
      <c r="D3" s="559"/>
      <c r="E3" s="559"/>
      <c r="F3" s="560"/>
      <c r="G3" s="560"/>
      <c r="H3" s="560"/>
      <c r="I3" s="559"/>
    </row>
    <row r="4" spans="1:32" ht="11.45" customHeight="1">
      <c r="A4" s="565" t="s">
        <v>73</v>
      </c>
      <c r="B4" s="559"/>
      <c r="C4" s="559"/>
      <c r="D4" s="559"/>
      <c r="E4" s="559"/>
      <c r="F4" s="560"/>
      <c r="G4" s="560"/>
      <c r="H4" s="560"/>
      <c r="I4" s="559"/>
    </row>
    <row r="5" spans="1:32" ht="11.45" customHeight="1">
      <c r="C5" s="566"/>
      <c r="D5" s="566"/>
      <c r="E5" s="566"/>
      <c r="F5" s="560"/>
      <c r="G5" s="560"/>
      <c r="H5" s="559"/>
      <c r="I5" s="567"/>
    </row>
    <row r="6" spans="1:32" ht="11.45" customHeight="1">
      <c r="A6" s="568" t="s">
        <v>57</v>
      </c>
      <c r="B6" s="569"/>
      <c r="C6" s="570">
        <v>213856</v>
      </c>
      <c r="D6" s="571" t="str">
        <f>IF(ABS(C6-C58)&gt;1,"Check Draw Total","")</f>
        <v/>
      </c>
      <c r="E6" s="559"/>
      <c r="H6" s="567"/>
      <c r="I6" s="567"/>
    </row>
    <row r="7" spans="1:32" ht="11.45" customHeight="1">
      <c r="A7" s="572" t="s">
        <v>49</v>
      </c>
      <c r="B7" s="573"/>
      <c r="C7" s="574">
        <f>'Project Assumptions'!B52</f>
        <v>6.4000000000000001E-2</v>
      </c>
      <c r="D7" s="575"/>
      <c r="H7" s="573"/>
      <c r="I7" s="576"/>
    </row>
    <row r="8" spans="1:32" ht="11.45" customHeight="1">
      <c r="A8" s="572" t="s">
        <v>50</v>
      </c>
      <c r="B8" s="573"/>
      <c r="C8" s="577">
        <v>18</v>
      </c>
      <c r="D8" s="578"/>
      <c r="G8" s="579"/>
      <c r="H8" s="576"/>
      <c r="I8" s="576"/>
    </row>
    <row r="9" spans="1:32">
      <c r="A9" s="572" t="s">
        <v>51</v>
      </c>
      <c r="B9" s="573"/>
      <c r="C9" s="574">
        <f>C7/12</f>
        <v>5.3333333333333332E-3</v>
      </c>
      <c r="D9" s="575"/>
      <c r="G9" s="579"/>
      <c r="H9" s="576"/>
      <c r="I9" s="576"/>
    </row>
    <row r="10" spans="1:32" ht="11.45" customHeight="1">
      <c r="A10" s="580"/>
      <c r="B10" s="573"/>
      <c r="C10" s="581"/>
      <c r="D10" s="573"/>
      <c r="H10" s="576"/>
      <c r="I10" s="576"/>
    </row>
    <row r="11" spans="1:32" ht="11.45" customHeight="1">
      <c r="A11" s="572" t="s">
        <v>52</v>
      </c>
      <c r="B11" s="573"/>
      <c r="C11" s="582">
        <v>3.5000000000000001E-3</v>
      </c>
      <c r="D11" s="575"/>
      <c r="H11" s="583"/>
      <c r="I11" s="583"/>
    </row>
    <row r="12" spans="1:32" ht="11.45" customHeight="1">
      <c r="A12" s="580"/>
      <c r="B12" s="573"/>
      <c r="C12" s="581"/>
      <c r="D12" s="573"/>
    </row>
    <row r="13" spans="1:32" ht="11.45" customHeight="1">
      <c r="A13" s="572" t="s">
        <v>53</v>
      </c>
      <c r="B13" s="573"/>
      <c r="C13" s="584">
        <v>1</v>
      </c>
      <c r="D13" s="585"/>
      <c r="F13" s="586"/>
    </row>
    <row r="14" spans="1:32" ht="11.45" customHeight="1">
      <c r="A14" s="587" t="s">
        <v>54</v>
      </c>
      <c r="B14" s="588"/>
      <c r="C14" s="589"/>
      <c r="D14" s="565"/>
      <c r="G14" s="579"/>
      <c r="H14" s="579"/>
      <c r="I14" s="579"/>
    </row>
    <row r="15" spans="1:32" ht="11.45" customHeight="1">
      <c r="A15" s="590" t="s">
        <v>55</v>
      </c>
      <c r="B15" s="591"/>
      <c r="C15" s="592">
        <f>VLOOKUP(C8,A21:F57,6)</f>
        <v>12268.633705062643</v>
      </c>
      <c r="D15" s="593"/>
      <c r="G15" s="579"/>
      <c r="H15" s="579"/>
      <c r="I15" s="579"/>
    </row>
    <row r="16" spans="1:32" ht="11.45" customHeight="1">
      <c r="A16" s="565"/>
      <c r="B16" s="573"/>
      <c r="C16" s="593"/>
      <c r="D16" s="593"/>
      <c r="F16" s="594"/>
      <c r="G16" s="594"/>
      <c r="H16" s="594"/>
      <c r="I16" s="594"/>
      <c r="J16" s="594"/>
      <c r="K16" s="594"/>
      <c r="L16" s="594"/>
      <c r="M16" s="594"/>
      <c r="N16" s="594"/>
      <c r="O16" s="594"/>
      <c r="P16" s="594"/>
      <c r="Q16" s="594"/>
      <c r="R16" s="594"/>
      <c r="S16" s="594"/>
      <c r="T16" s="594"/>
      <c r="U16" s="594"/>
      <c r="V16" s="594"/>
      <c r="W16" s="594"/>
      <c r="X16" s="594"/>
      <c r="Y16" s="594"/>
      <c r="Z16" s="594"/>
      <c r="AA16" s="594"/>
      <c r="AB16" s="594"/>
      <c r="AC16" s="594"/>
      <c r="AD16" s="594"/>
      <c r="AE16" s="594"/>
      <c r="AF16" s="594"/>
    </row>
    <row r="17" spans="1:9" ht="11.45" customHeight="1">
      <c r="A17" s="565"/>
      <c r="B17" s="573"/>
      <c r="C17" s="593"/>
      <c r="D17" s="593"/>
      <c r="G17" s="579"/>
      <c r="H17" s="27"/>
      <c r="I17" s="27"/>
    </row>
    <row r="18" spans="1:9" ht="22.5" customHeight="1">
      <c r="A18" s="595" t="s">
        <v>56</v>
      </c>
      <c r="B18" s="595" t="s">
        <v>70</v>
      </c>
      <c r="C18" s="595" t="s">
        <v>7</v>
      </c>
      <c r="D18" s="595" t="s">
        <v>373</v>
      </c>
      <c r="E18" s="595" t="s">
        <v>71</v>
      </c>
      <c r="F18" s="596" t="s">
        <v>72</v>
      </c>
      <c r="G18" s="579"/>
      <c r="H18" s="27"/>
      <c r="I18" s="27"/>
    </row>
    <row r="19" spans="1:9" ht="11.45" customHeight="1">
      <c r="A19" s="597"/>
      <c r="B19" s="598"/>
      <c r="C19" s="597"/>
      <c r="D19" s="597"/>
      <c r="E19" s="598"/>
      <c r="F19" s="599"/>
      <c r="G19" s="579"/>
      <c r="H19" s="27"/>
      <c r="I19" s="27"/>
    </row>
    <row r="20" spans="1:9" ht="12.75">
      <c r="A20" s="597"/>
      <c r="B20" s="598"/>
      <c r="C20" s="597"/>
      <c r="D20" s="597"/>
      <c r="E20" s="600"/>
      <c r="F20" s="601"/>
      <c r="H20" s="27"/>
      <c r="I20" s="27"/>
    </row>
    <row r="21" spans="1:9" ht="11.45" customHeight="1">
      <c r="A21" s="602">
        <v>0</v>
      </c>
      <c r="B21" s="603">
        <f>C21/$C$6</f>
        <v>3.1797097112075415E-2</v>
      </c>
      <c r="C21" s="604">
        <v>6800</v>
      </c>
      <c r="D21" s="605">
        <f>D20+C21+E20</f>
        <v>6800</v>
      </c>
      <c r="E21" s="604">
        <v>340</v>
      </c>
      <c r="F21" s="606">
        <f t="shared" ref="F21:F57" si="0">IF(A21&lt;=$C$8,E21+F20,F20)</f>
        <v>340</v>
      </c>
      <c r="H21" s="27"/>
      <c r="I21" s="27"/>
    </row>
    <row r="22" spans="1:9" ht="11.45" customHeight="1">
      <c r="A22" s="602">
        <v>1</v>
      </c>
      <c r="B22" s="603">
        <f t="shared" ref="B22:B56" si="1">C22/$C$6</f>
        <v>5.8450546161903337E-3</v>
      </c>
      <c r="C22" s="604">
        <v>1250</v>
      </c>
      <c r="D22" s="605">
        <f t="shared" ref="D22:D57" si="2">D21+C22+E21</f>
        <v>8390</v>
      </c>
      <c r="E22" s="604">
        <v>46.41</v>
      </c>
      <c r="F22" s="606">
        <f t="shared" si="0"/>
        <v>386.40999999999997</v>
      </c>
      <c r="H22" s="27"/>
      <c r="I22" s="27"/>
    </row>
    <row r="23" spans="1:9" ht="11.45" customHeight="1">
      <c r="A23" s="602">
        <f t="shared" ref="A23:A57" si="3">A22+1</f>
        <v>2</v>
      </c>
      <c r="B23" s="603">
        <f t="shared" si="1"/>
        <v>0.15377076163399672</v>
      </c>
      <c r="C23" s="604">
        <v>32884.800000000003</v>
      </c>
      <c r="D23" s="605">
        <f t="shared" si="2"/>
        <v>41321.210000000006</v>
      </c>
      <c r="E23" s="604">
        <v>139.38399999999999</v>
      </c>
      <c r="F23" s="606">
        <f t="shared" si="0"/>
        <v>525.79399999999998</v>
      </c>
      <c r="H23" s="27"/>
      <c r="I23" s="27"/>
    </row>
    <row r="24" spans="1:9" ht="11.45" customHeight="1">
      <c r="A24" s="602">
        <f t="shared" si="3"/>
        <v>3</v>
      </c>
      <c r="B24" s="603">
        <f t="shared" si="1"/>
        <v>9.3520873859045345E-5</v>
      </c>
      <c r="C24" s="604">
        <v>20</v>
      </c>
      <c r="D24" s="605">
        <f t="shared" si="2"/>
        <v>41480.594000000005</v>
      </c>
      <c r="E24" s="607">
        <f>IF(A24&gt;$C$8,0,((D23+(C24/2))*$C$9)+(($C$6-SUM($C$20:C24))*($C$11/12)))</f>
        <v>270.86263666666673</v>
      </c>
      <c r="F24" s="606">
        <f t="shared" si="0"/>
        <v>796.65663666666671</v>
      </c>
      <c r="H24" s="27"/>
      <c r="I24" s="27"/>
    </row>
    <row r="25" spans="1:9" ht="11.45" customHeight="1">
      <c r="A25" s="602">
        <f t="shared" si="3"/>
        <v>4</v>
      </c>
      <c r="B25" s="603">
        <f t="shared" si="1"/>
        <v>6.7632472317821343E-3</v>
      </c>
      <c r="C25" s="604">
        <v>1446.3610000000001</v>
      </c>
      <c r="D25" s="605">
        <f t="shared" si="2"/>
        <v>43197.817636666667</v>
      </c>
      <c r="E25" s="607">
        <f>IF(A25&gt;$C$8,0,((D24+(C25/2))*$C$9)+(($C$6-SUM($C$20:C25))*($C$11/12)))</f>
        <v>275.09445870833338</v>
      </c>
      <c r="F25" s="606">
        <f t="shared" si="0"/>
        <v>1071.7510953750002</v>
      </c>
      <c r="H25" s="27"/>
      <c r="I25" s="27"/>
    </row>
    <row r="26" spans="1:9" ht="11.45" customHeight="1">
      <c r="A26" s="602">
        <f t="shared" si="3"/>
        <v>5</v>
      </c>
      <c r="B26" s="603">
        <f t="shared" si="1"/>
        <v>0.14458045133173725</v>
      </c>
      <c r="C26" s="604">
        <v>30919.397000000001</v>
      </c>
      <c r="D26" s="605">
        <f t="shared" si="2"/>
        <v>74392.309095375007</v>
      </c>
      <c r="E26" s="607">
        <f>IF(A26&gt;$C$8,0,((D25+(C26/2))*$C$9)+(($C$6-SUM($C$20:C26))*($C$11/12)))</f>
        <v>353.82958997888886</v>
      </c>
      <c r="F26" s="606">
        <f t="shared" si="0"/>
        <v>1425.5806853538891</v>
      </c>
      <c r="H26" s="27"/>
      <c r="I26" s="27"/>
    </row>
    <row r="27" spans="1:9" ht="11.45" customHeight="1">
      <c r="A27" s="602">
        <f t="shared" si="3"/>
        <v>6</v>
      </c>
      <c r="B27" s="603">
        <f t="shared" si="1"/>
        <v>4.6968740647912614E-2</v>
      </c>
      <c r="C27" s="604">
        <v>10044.547</v>
      </c>
      <c r="D27" s="605">
        <f t="shared" si="2"/>
        <v>84790.685685353907</v>
      </c>
      <c r="E27" s="607">
        <f>IF(A27&gt;$C$8,0,((D26+(C27/2))*$C$9)+(($C$6-SUM($C$20:C27))*($C$11/12)))</f>
        <v>461.60428488366665</v>
      </c>
      <c r="F27" s="606">
        <f t="shared" si="0"/>
        <v>1887.1849702375557</v>
      </c>
      <c r="H27" s="27"/>
      <c r="I27" s="27"/>
    </row>
    <row r="28" spans="1:9" ht="11.45" customHeight="1">
      <c r="A28" s="602">
        <f t="shared" si="3"/>
        <v>7</v>
      </c>
      <c r="B28" s="603">
        <f t="shared" si="1"/>
        <v>4.5788039615442172E-2</v>
      </c>
      <c r="C28" s="604">
        <v>9792.0470000000005</v>
      </c>
      <c r="D28" s="605">
        <f t="shared" si="2"/>
        <v>95044.336970237578</v>
      </c>
      <c r="E28" s="607">
        <f>IF(A28&gt;$C$8,0,((D27+(C28/2))*$C$9)+(($C$6-SUM($C$20:C28))*($C$11/12)))</f>
        <v>513.53294632188749</v>
      </c>
      <c r="F28" s="606">
        <f t="shared" si="0"/>
        <v>2400.7179165594434</v>
      </c>
      <c r="H28" s="27"/>
      <c r="I28" s="27"/>
    </row>
    <row r="29" spans="1:9" ht="11.45" customHeight="1">
      <c r="A29" s="602">
        <f t="shared" si="3"/>
        <v>8</v>
      </c>
      <c r="B29" s="603">
        <f t="shared" si="1"/>
        <v>7.3225492855005236E-2</v>
      </c>
      <c r="C29" s="604">
        <v>15659.710999999999</v>
      </c>
      <c r="D29" s="605">
        <f t="shared" si="2"/>
        <v>111217.58091655945</v>
      </c>
      <c r="E29" s="607">
        <f>IF(A29&gt;$C$8,0,((D28+(C29/2))*$C$9)+(($C$6-SUM($C$20:C29))*($C$11/12)))</f>
        <v>579.29877479960044</v>
      </c>
      <c r="F29" s="606">
        <f t="shared" si="0"/>
        <v>2980.0166913590438</v>
      </c>
      <c r="H29" s="27"/>
      <c r="I29" s="27"/>
    </row>
    <row r="30" spans="1:9" ht="11.45" customHeight="1">
      <c r="A30" s="602">
        <f t="shared" si="3"/>
        <v>9</v>
      </c>
      <c r="B30" s="603">
        <f t="shared" si="1"/>
        <v>5.6529187864731406E-2</v>
      </c>
      <c r="C30" s="604">
        <v>12089.106</v>
      </c>
      <c r="D30" s="605">
        <f t="shared" si="2"/>
        <v>123885.98569135905</v>
      </c>
      <c r="E30" s="607">
        <f>IF(A30&gt;$C$8,0,((D29+(C30/2))*$C$9)+(($C$6-SUM($C$20:C30))*($C$11/12)))</f>
        <v>652.508473263317</v>
      </c>
      <c r="F30" s="606">
        <f t="shared" si="0"/>
        <v>3632.5251646223605</v>
      </c>
      <c r="H30" s="27"/>
      <c r="I30" s="27"/>
    </row>
    <row r="31" spans="1:9" ht="11.45" customHeight="1">
      <c r="A31" s="602">
        <f t="shared" si="3"/>
        <v>10</v>
      </c>
      <c r="B31" s="603">
        <f t="shared" si="1"/>
        <v>5.005526148436331E-2</v>
      </c>
      <c r="C31" s="604">
        <v>10704.618</v>
      </c>
      <c r="D31" s="605">
        <f t="shared" si="2"/>
        <v>135243.11216462238</v>
      </c>
      <c r="E31" s="607">
        <f>IF(A31&gt;$C$8,0,((D30+(C31/2))*$C$9)+(($C$6-SUM($C$20:C31))*($C$11/12)))</f>
        <v>713.25915047891488</v>
      </c>
      <c r="F31" s="606">
        <f t="shared" si="0"/>
        <v>4345.7843151012758</v>
      </c>
      <c r="H31" s="27"/>
      <c r="I31" s="27"/>
    </row>
    <row r="32" spans="1:9" ht="11.45" customHeight="1">
      <c r="A32" s="602">
        <f t="shared" si="3"/>
        <v>11</v>
      </c>
      <c r="B32" s="603">
        <f t="shared" si="1"/>
        <v>7.1890267282657488E-2</v>
      </c>
      <c r="C32" s="604">
        <v>15374.165000000001</v>
      </c>
      <c r="D32" s="605">
        <f t="shared" si="2"/>
        <v>151330.53631510129</v>
      </c>
      <c r="E32" s="607">
        <f>IF(A32&gt;$C$8,0,((D31+(C32/2))*$C$9)+(($C$6-SUM($C$20:C32))*($C$11/12)))</f>
        <v>781.79848554465252</v>
      </c>
      <c r="F32" s="606">
        <f t="shared" si="0"/>
        <v>5127.5828006459287</v>
      </c>
      <c r="H32" s="27"/>
      <c r="I32" s="27"/>
    </row>
    <row r="33" spans="1:9" ht="11.45" customHeight="1">
      <c r="A33" s="602">
        <f t="shared" si="3"/>
        <v>12</v>
      </c>
      <c r="B33" s="603">
        <f t="shared" si="1"/>
        <v>7.9806224749364066E-2</v>
      </c>
      <c r="C33" s="604">
        <v>17067.04</v>
      </c>
      <c r="D33" s="605">
        <f t="shared" si="2"/>
        <v>169179.37480064595</v>
      </c>
      <c r="E33" s="607">
        <f>IF(A33&gt;$C$8,0,((D32+(C33/2))*$C$9)+(($C$6-SUM($C$20:C33))*($C$11/12)))</f>
        <v>867.13452768054003</v>
      </c>
      <c r="F33" s="606">
        <f t="shared" si="0"/>
        <v>5994.7173283264692</v>
      </c>
      <c r="H33" s="27"/>
      <c r="I33" s="27"/>
    </row>
    <row r="34" spans="1:9" ht="11.45" customHeight="1">
      <c r="A34" s="602">
        <f t="shared" si="3"/>
        <v>13</v>
      </c>
      <c r="B34" s="603">
        <f t="shared" si="1"/>
        <v>3.5538236009277267E-2</v>
      </c>
      <c r="C34" s="604">
        <v>7600.0649999999996</v>
      </c>
      <c r="D34" s="605">
        <f t="shared" si="2"/>
        <v>177646.5743283265</v>
      </c>
      <c r="E34" s="607">
        <f>IF(A34&gt;$C$8,0,((D33+(C34/2))*$C$9)+(($C$6-SUM($C$20:C34))*($C$11/12)))</f>
        <v>934.86638064511169</v>
      </c>
      <c r="F34" s="606">
        <f t="shared" si="0"/>
        <v>6929.5837089715806</v>
      </c>
      <c r="H34" s="27"/>
      <c r="I34" s="27"/>
    </row>
    <row r="35" spans="1:9" ht="11.45" customHeight="1">
      <c r="A35" s="602">
        <f t="shared" si="3"/>
        <v>14</v>
      </c>
      <c r="B35" s="603">
        <f t="shared" si="1"/>
        <v>2.9693181393086934E-2</v>
      </c>
      <c r="C35" s="604">
        <v>6350.0649999999996</v>
      </c>
      <c r="D35" s="605">
        <f t="shared" si="2"/>
        <v>184931.50570897161</v>
      </c>
      <c r="E35" s="607">
        <f>IF(A35&gt;$C$8,0,((D34+(C35/2))*$C$9)+(($C$6-SUM($C$20:C35))*($C$11/12)))</f>
        <v>974.83934250107473</v>
      </c>
      <c r="F35" s="606">
        <f t="shared" si="0"/>
        <v>7904.4230514726551</v>
      </c>
      <c r="H35" s="27"/>
      <c r="I35" s="27"/>
    </row>
    <row r="36" spans="1:9" ht="11.45" customHeight="1">
      <c r="A36" s="602">
        <f t="shared" si="3"/>
        <v>15</v>
      </c>
      <c r="B36" s="603">
        <f t="shared" si="1"/>
        <v>4.6456798032320813E-2</v>
      </c>
      <c r="C36" s="604">
        <v>9935.0650000000005</v>
      </c>
      <c r="D36" s="605">
        <f t="shared" si="2"/>
        <v>195841.41005147269</v>
      </c>
      <c r="E36" s="607">
        <f>IF(A36&gt;$C$8,0,((D35+(C36/2))*$C$9)+(($C$6-SUM($C$20:C36))*($C$11/12)))</f>
        <v>1020.3545825728486</v>
      </c>
      <c r="F36" s="606">
        <f t="shared" si="0"/>
        <v>8924.7776340455039</v>
      </c>
      <c r="H36" s="27"/>
      <c r="I36" s="27"/>
    </row>
    <row r="37" spans="1:9" ht="11.45" customHeight="1">
      <c r="A37" s="602">
        <f t="shared" si="3"/>
        <v>16</v>
      </c>
      <c r="B37" s="603">
        <f t="shared" si="1"/>
        <v>3.6613726058656287E-2</v>
      </c>
      <c r="C37" s="604">
        <v>7830.0649999999996</v>
      </c>
      <c r="D37" s="605">
        <f t="shared" si="2"/>
        <v>204691.82963404554</v>
      </c>
      <c r="E37" s="607">
        <f>IF(A37&gt;$C$8,0,((D36+(C37/2))*$C$9)+(($C$6-SUM($C$20:C37))*($C$11/12)))</f>
        <v>1070.6436367745209</v>
      </c>
      <c r="F37" s="606">
        <f t="shared" si="0"/>
        <v>9995.4212708200248</v>
      </c>
      <c r="H37" s="27"/>
      <c r="I37" s="27"/>
    </row>
    <row r="38" spans="1:9" ht="11.45" customHeight="1">
      <c r="A38" s="602">
        <f t="shared" si="3"/>
        <v>17</v>
      </c>
      <c r="B38" s="603">
        <f t="shared" si="1"/>
        <v>2.8390823731856949E-2</v>
      </c>
      <c r="C38" s="604">
        <v>6071.5479999999998</v>
      </c>
      <c r="D38" s="605">
        <f t="shared" si="2"/>
        <v>211834.02127082009</v>
      </c>
      <c r="E38" s="607">
        <f>IF(A38&gt;$C$8,0,((D37+(C38/2))*$C$9)+(($C$6-SUM($C$20:C38))*($C$11/12)))</f>
        <v>1111.3856277149096</v>
      </c>
      <c r="F38" s="606">
        <f t="shared" si="0"/>
        <v>11106.806898534935</v>
      </c>
      <c r="H38" s="27"/>
      <c r="I38" s="27"/>
    </row>
    <row r="39" spans="1:9" ht="11.45" customHeight="1">
      <c r="A39" s="602">
        <f t="shared" si="3"/>
        <v>18</v>
      </c>
      <c r="B39" s="603">
        <f t="shared" si="1"/>
        <v>5.6191839368547054E-2</v>
      </c>
      <c r="C39" s="604">
        <v>12016.962</v>
      </c>
      <c r="D39" s="605">
        <f t="shared" si="2"/>
        <v>224962.368898535</v>
      </c>
      <c r="E39" s="607">
        <f>IF(A39&gt;$C$8,0,((D38+(C39/2))*$C$9)+(($C$6-SUM($C$20:C39))*($C$11/12)))</f>
        <v>1161.826806527707</v>
      </c>
      <c r="F39" s="606">
        <f t="shared" si="0"/>
        <v>12268.633705062643</v>
      </c>
      <c r="H39" s="27"/>
      <c r="I39" s="27"/>
    </row>
    <row r="40" spans="1:9" ht="11.45" customHeight="1">
      <c r="A40" s="602">
        <f t="shared" si="3"/>
        <v>19</v>
      </c>
      <c r="B40" s="603">
        <f t="shared" si="1"/>
        <v>0</v>
      </c>
      <c r="C40" s="604">
        <v>0</v>
      </c>
      <c r="D40" s="605">
        <f t="shared" si="2"/>
        <v>226124.19570506271</v>
      </c>
      <c r="E40" s="607">
        <f>IF(A40&gt;$C$8,0,((D39+(C40/2))*$C$9)+(($C$6-SUM($C$20:C40))*($C$11/12)))</f>
        <v>0</v>
      </c>
      <c r="F40" s="606">
        <f t="shared" si="0"/>
        <v>12268.633705062643</v>
      </c>
      <c r="H40" s="27"/>
      <c r="I40" s="27"/>
    </row>
    <row r="41" spans="1:9" ht="11.45" customHeight="1">
      <c r="A41" s="602">
        <f t="shared" si="3"/>
        <v>20</v>
      </c>
      <c r="B41" s="603">
        <f t="shared" si="1"/>
        <v>0</v>
      </c>
      <c r="C41" s="604">
        <v>0</v>
      </c>
      <c r="D41" s="605">
        <f t="shared" si="2"/>
        <v>226124.19570506271</v>
      </c>
      <c r="E41" s="607">
        <f>IF(A41&gt;$C$8,0,((D40+(C41/2))*$C$9)+(($C$6-SUM($C$20:C41))*($C$11/12)))</f>
        <v>0</v>
      </c>
      <c r="F41" s="606">
        <f t="shared" si="0"/>
        <v>12268.633705062643</v>
      </c>
      <c r="H41" s="27"/>
      <c r="I41" s="27"/>
    </row>
    <row r="42" spans="1:9" ht="11.45" customHeight="1">
      <c r="A42" s="602">
        <f t="shared" si="3"/>
        <v>21</v>
      </c>
      <c r="B42" s="603">
        <f t="shared" si="1"/>
        <v>0</v>
      </c>
      <c r="C42" s="604">
        <v>0</v>
      </c>
      <c r="D42" s="605">
        <f t="shared" si="2"/>
        <v>226124.19570506271</v>
      </c>
      <c r="E42" s="607">
        <f>IF(A42&gt;$C$8,0,((D41+(C42/2))*$C$9)+(($C$6-SUM($C$20:C42))*($C$11/12)))</f>
        <v>0</v>
      </c>
      <c r="F42" s="606">
        <f t="shared" si="0"/>
        <v>12268.633705062643</v>
      </c>
      <c r="H42" s="27"/>
      <c r="I42" s="27"/>
    </row>
    <row r="43" spans="1:9" ht="11.45" customHeight="1">
      <c r="A43" s="602">
        <f t="shared" si="3"/>
        <v>22</v>
      </c>
      <c r="B43" s="603">
        <f t="shared" si="1"/>
        <v>0</v>
      </c>
      <c r="C43" s="604">
        <v>0</v>
      </c>
      <c r="D43" s="605">
        <f t="shared" si="2"/>
        <v>226124.19570506271</v>
      </c>
      <c r="E43" s="607">
        <f>IF(A43&gt;$C$8,0,((D42+(C43/2))*$C$9)+(($C$6-SUM($C$20:C43))*($C$11/12)))</f>
        <v>0</v>
      </c>
      <c r="F43" s="606">
        <f t="shared" si="0"/>
        <v>12268.633705062643</v>
      </c>
      <c r="G43" s="27"/>
      <c r="H43" s="27"/>
      <c r="I43" s="27"/>
    </row>
    <row r="44" spans="1:9" ht="11.45" customHeight="1">
      <c r="A44" s="602">
        <f t="shared" si="3"/>
        <v>23</v>
      </c>
      <c r="B44" s="603">
        <f t="shared" si="1"/>
        <v>0</v>
      </c>
      <c r="C44" s="604">
        <v>0</v>
      </c>
      <c r="D44" s="605">
        <f t="shared" si="2"/>
        <v>226124.19570506271</v>
      </c>
      <c r="E44" s="607">
        <f>IF(A44&gt;$C$8,0,((D43+(C44/2))*$C$9)+(($C$6-SUM($C$20:C44))*($C$11/12)))</f>
        <v>0</v>
      </c>
      <c r="F44" s="606">
        <f t="shared" si="0"/>
        <v>12268.633705062643</v>
      </c>
      <c r="G44" s="27"/>
      <c r="H44" s="27"/>
      <c r="I44" s="27"/>
    </row>
    <row r="45" spans="1:9" ht="11.45" customHeight="1">
      <c r="A45" s="602">
        <f t="shared" si="3"/>
        <v>24</v>
      </c>
      <c r="B45" s="603">
        <f t="shared" si="1"/>
        <v>0</v>
      </c>
      <c r="C45" s="604">
        <v>0</v>
      </c>
      <c r="D45" s="605">
        <f t="shared" si="2"/>
        <v>226124.19570506271</v>
      </c>
      <c r="E45" s="607">
        <f>IF(A45&gt;$C$8,0,((D44+(C45/2))*$C$9)+(($C$6-SUM($C$20:C45))*($C$11/12)))</f>
        <v>0</v>
      </c>
      <c r="F45" s="606">
        <f t="shared" si="0"/>
        <v>12268.633705062643</v>
      </c>
      <c r="G45" s="27"/>
      <c r="H45" s="27"/>
      <c r="I45" s="27"/>
    </row>
    <row r="46" spans="1:9" ht="11.45" customHeight="1">
      <c r="A46" s="602">
        <f t="shared" si="3"/>
        <v>25</v>
      </c>
      <c r="B46" s="603">
        <f t="shared" si="1"/>
        <v>0</v>
      </c>
      <c r="C46" s="604">
        <v>0</v>
      </c>
      <c r="D46" s="605">
        <f t="shared" si="2"/>
        <v>226124.19570506271</v>
      </c>
      <c r="E46" s="607">
        <f>IF(A46&gt;$C$8,0,((D45+(C46/2))*$C$9)+(($C$6-SUM($C$20:C46))*($C$11/12)))</f>
        <v>0</v>
      </c>
      <c r="F46" s="606">
        <f t="shared" si="0"/>
        <v>12268.633705062643</v>
      </c>
      <c r="G46" s="27"/>
      <c r="H46" s="27"/>
      <c r="I46" s="27"/>
    </row>
    <row r="47" spans="1:9" ht="11.45" customHeight="1">
      <c r="A47" s="602">
        <f t="shared" si="3"/>
        <v>26</v>
      </c>
      <c r="B47" s="603">
        <f t="shared" si="1"/>
        <v>0</v>
      </c>
      <c r="C47" s="604">
        <v>0</v>
      </c>
      <c r="D47" s="605">
        <f t="shared" si="2"/>
        <v>226124.19570506271</v>
      </c>
      <c r="E47" s="607">
        <f>IF(A47&gt;$C$8,0,((D46+(C47/2))*$C$9)+(($C$6-SUM($C$20:C47))*($C$11/12)))</f>
        <v>0</v>
      </c>
      <c r="F47" s="606">
        <f t="shared" si="0"/>
        <v>12268.633705062643</v>
      </c>
      <c r="G47" s="27"/>
      <c r="H47" s="27"/>
      <c r="I47" s="27"/>
    </row>
    <row r="48" spans="1:9" ht="11.45" customHeight="1">
      <c r="A48" s="602">
        <f t="shared" si="3"/>
        <v>27</v>
      </c>
      <c r="B48" s="603">
        <f t="shared" si="1"/>
        <v>0</v>
      </c>
      <c r="C48" s="604">
        <v>0</v>
      </c>
      <c r="D48" s="605">
        <f t="shared" si="2"/>
        <v>226124.19570506271</v>
      </c>
      <c r="E48" s="607">
        <f>IF(A48&gt;$C$8,0,((D47+(C48/2))*$C$9)+(($C$6-SUM($C$20:C48))*($C$11/12)))</f>
        <v>0</v>
      </c>
      <c r="F48" s="606">
        <f t="shared" si="0"/>
        <v>12268.633705062643</v>
      </c>
      <c r="G48" s="27"/>
      <c r="H48" s="27"/>
      <c r="I48" s="27"/>
    </row>
    <row r="49" spans="1:9" ht="11.45" customHeight="1">
      <c r="A49" s="602">
        <f t="shared" si="3"/>
        <v>28</v>
      </c>
      <c r="B49" s="603">
        <f t="shared" si="1"/>
        <v>0</v>
      </c>
      <c r="C49" s="604">
        <v>0</v>
      </c>
      <c r="D49" s="605">
        <f t="shared" si="2"/>
        <v>226124.19570506271</v>
      </c>
      <c r="E49" s="607">
        <f>IF(A49&gt;$C$8,0,((D48+(C49/2))*$C$9)+(($C$6-SUM($C$20:C49))*($C$11/12)))</f>
        <v>0</v>
      </c>
      <c r="F49" s="606">
        <f t="shared" si="0"/>
        <v>12268.633705062643</v>
      </c>
      <c r="G49" s="27"/>
      <c r="H49" s="27"/>
      <c r="I49" s="27"/>
    </row>
    <row r="50" spans="1:9" ht="11.45" customHeight="1">
      <c r="A50" s="602">
        <f t="shared" si="3"/>
        <v>29</v>
      </c>
      <c r="B50" s="603">
        <f t="shared" si="1"/>
        <v>0</v>
      </c>
      <c r="C50" s="604">
        <v>0</v>
      </c>
      <c r="D50" s="605">
        <f t="shared" si="2"/>
        <v>226124.19570506271</v>
      </c>
      <c r="E50" s="607">
        <f>IF(A50&gt;$C$8,0,((D49+(C50/2))*$C$9)+(($C$6-SUM($C$20:C50))*($C$11/12)))</f>
        <v>0</v>
      </c>
      <c r="F50" s="606">
        <f t="shared" si="0"/>
        <v>12268.633705062643</v>
      </c>
      <c r="G50" s="27"/>
      <c r="H50" s="27"/>
      <c r="I50" s="27"/>
    </row>
    <row r="51" spans="1:9" ht="11.45" customHeight="1">
      <c r="A51" s="602">
        <f t="shared" si="3"/>
        <v>30</v>
      </c>
      <c r="B51" s="603">
        <f t="shared" si="1"/>
        <v>0</v>
      </c>
      <c r="C51" s="604">
        <v>0</v>
      </c>
      <c r="D51" s="605">
        <f t="shared" si="2"/>
        <v>226124.19570506271</v>
      </c>
      <c r="E51" s="607">
        <f>IF(A51&gt;$C$8,0,((D50+(C51/2))*$C$9)+(($C$6-SUM($C$20:C51))*($C$11/12)))</f>
        <v>0</v>
      </c>
      <c r="F51" s="606">
        <f t="shared" si="0"/>
        <v>12268.633705062643</v>
      </c>
      <c r="G51" s="27"/>
      <c r="H51" s="27"/>
      <c r="I51" s="27"/>
    </row>
    <row r="52" spans="1:9" ht="11.45" customHeight="1">
      <c r="A52" s="602">
        <f t="shared" si="3"/>
        <v>31</v>
      </c>
      <c r="B52" s="603">
        <f t="shared" si="1"/>
        <v>0</v>
      </c>
      <c r="C52" s="604">
        <v>0</v>
      </c>
      <c r="D52" s="605">
        <f t="shared" si="2"/>
        <v>226124.19570506271</v>
      </c>
      <c r="E52" s="607">
        <f>IF(A52&gt;$C$8,0,((D51+(C52/2))*$C$9)+(($C$6-SUM($C$20:C52))*($C$11/12)))</f>
        <v>0</v>
      </c>
      <c r="F52" s="606">
        <f t="shared" si="0"/>
        <v>12268.633705062643</v>
      </c>
      <c r="G52" s="27"/>
      <c r="H52" s="27"/>
      <c r="I52" s="27"/>
    </row>
    <row r="53" spans="1:9" ht="11.45" customHeight="1">
      <c r="A53" s="602">
        <f t="shared" si="3"/>
        <v>32</v>
      </c>
      <c r="B53" s="603">
        <f t="shared" si="1"/>
        <v>0</v>
      </c>
      <c r="C53" s="604">
        <v>0</v>
      </c>
      <c r="D53" s="605">
        <f t="shared" si="2"/>
        <v>226124.19570506271</v>
      </c>
      <c r="E53" s="607">
        <f>IF(A53&gt;$C$8,0,((D52+(C53/2))*$C$9)+(($C$6-SUM($C$20:C53))*($C$11/12)))</f>
        <v>0</v>
      </c>
      <c r="F53" s="606">
        <f t="shared" si="0"/>
        <v>12268.633705062643</v>
      </c>
      <c r="G53" s="27"/>
      <c r="H53" s="27"/>
      <c r="I53" s="27"/>
    </row>
    <row r="54" spans="1:9" ht="11.45" customHeight="1">
      <c r="A54" s="602">
        <f t="shared" si="3"/>
        <v>33</v>
      </c>
      <c r="B54" s="603">
        <f t="shared" si="1"/>
        <v>0</v>
      </c>
      <c r="C54" s="604">
        <v>0</v>
      </c>
      <c r="D54" s="605">
        <f t="shared" si="2"/>
        <v>226124.19570506271</v>
      </c>
      <c r="E54" s="607">
        <f>IF(A54&gt;$C$8,0,((D53+(C54/2))*$C$9)+(($C$6-SUM($C$20:C54))*($C$11/12)))</f>
        <v>0</v>
      </c>
      <c r="F54" s="606">
        <f t="shared" si="0"/>
        <v>12268.633705062643</v>
      </c>
      <c r="G54" s="27"/>
      <c r="H54" s="27"/>
      <c r="I54" s="27"/>
    </row>
    <row r="55" spans="1:9" ht="11.45" customHeight="1">
      <c r="A55" s="602">
        <f t="shared" si="3"/>
        <v>34</v>
      </c>
      <c r="B55" s="603">
        <f t="shared" si="1"/>
        <v>0</v>
      </c>
      <c r="C55" s="604">
        <v>0</v>
      </c>
      <c r="D55" s="605">
        <f t="shared" si="2"/>
        <v>226124.19570506271</v>
      </c>
      <c r="E55" s="607">
        <f>IF(A55&gt;$C$8,0,((D54+(C55/2))*$C$9)+(($C$6-SUM($C$20:C55))*($C$11/12)))</f>
        <v>0</v>
      </c>
      <c r="F55" s="606">
        <f t="shared" si="0"/>
        <v>12268.633705062643</v>
      </c>
      <c r="G55" s="27"/>
      <c r="H55" s="27"/>
      <c r="I55" s="27"/>
    </row>
    <row r="56" spans="1:9" ht="11.45" customHeight="1">
      <c r="A56" s="602">
        <f t="shared" si="3"/>
        <v>35</v>
      </c>
      <c r="B56" s="603">
        <f t="shared" si="1"/>
        <v>0</v>
      </c>
      <c r="C56" s="604">
        <v>0</v>
      </c>
      <c r="D56" s="605">
        <f t="shared" si="2"/>
        <v>226124.19570506271</v>
      </c>
      <c r="E56" s="607">
        <f>IF(A56&gt;$C$8,0,((D55+(C56/2))*$C$9)+(($C$6-SUM($C$20:C56))*($C$11/12)))</f>
        <v>0</v>
      </c>
      <c r="F56" s="606">
        <f t="shared" si="0"/>
        <v>12268.633705062643</v>
      </c>
      <c r="G56" s="27"/>
      <c r="H56" s="27"/>
      <c r="I56" s="27"/>
    </row>
    <row r="57" spans="1:9" ht="11.45" customHeight="1">
      <c r="A57" s="608">
        <f t="shared" si="3"/>
        <v>36</v>
      </c>
      <c r="B57" s="609">
        <f>IF($C$13=1,I57,H57)</f>
        <v>0</v>
      </c>
      <c r="C57" s="610">
        <v>0</v>
      </c>
      <c r="D57" s="611">
        <f t="shared" si="2"/>
        <v>226124.19570506271</v>
      </c>
      <c r="E57" s="612">
        <f>IF(A57&gt;$C$8,0,((D56+(C57))*($C$9))+(($C$6-SUM($C$21:C57))*($C$11/12)))</f>
        <v>0</v>
      </c>
      <c r="F57" s="613">
        <f t="shared" si="0"/>
        <v>12268.633705062643</v>
      </c>
      <c r="G57" s="27"/>
      <c r="H57" s="27"/>
      <c r="I57" s="27"/>
    </row>
    <row r="58" spans="1:9" ht="12.75">
      <c r="A58" s="27"/>
      <c r="B58" s="27"/>
      <c r="C58" s="614">
        <f>SUM(C21:C57)</f>
        <v>213855.56200000003</v>
      </c>
      <c r="D58" s="27"/>
      <c r="E58" s="27"/>
      <c r="F58" s="27"/>
      <c r="G58" s="27"/>
      <c r="H58" s="27"/>
      <c r="I58" s="27"/>
    </row>
    <row r="59" spans="1:9" ht="12.75">
      <c r="A59" s="27"/>
      <c r="B59" s="27"/>
      <c r="C59" s="27"/>
      <c r="D59" s="27"/>
      <c r="E59" s="27"/>
      <c r="F59" s="27"/>
      <c r="G59" s="27"/>
      <c r="H59" s="27"/>
      <c r="I59" s="27"/>
    </row>
    <row r="60" spans="1:9" ht="12.75">
      <c r="A60" s="27"/>
      <c r="B60" s="27"/>
      <c r="C60" s="27"/>
      <c r="D60" s="27"/>
      <c r="E60" s="27"/>
      <c r="F60" s="27"/>
      <c r="G60" s="27"/>
      <c r="H60" s="27"/>
      <c r="I60" s="27"/>
    </row>
    <row r="61" spans="1:9" ht="12.75">
      <c r="A61" s="27"/>
      <c r="B61" s="27"/>
      <c r="C61" s="27"/>
      <c r="D61" s="27"/>
      <c r="E61" s="27"/>
      <c r="F61" s="27"/>
      <c r="G61" s="27"/>
      <c r="H61" s="27"/>
      <c r="I61" s="27"/>
    </row>
    <row r="62" spans="1:9" ht="12.75">
      <c r="A62" s="27"/>
      <c r="B62" s="27"/>
      <c r="C62" s="27"/>
      <c r="D62" s="27"/>
      <c r="E62" s="27"/>
      <c r="F62" s="27"/>
      <c r="G62" s="27"/>
      <c r="H62" s="27"/>
      <c r="I62" s="27"/>
    </row>
    <row r="63" spans="1:9" ht="12.75">
      <c r="A63" s="27"/>
      <c r="B63" s="27"/>
      <c r="C63" s="27"/>
      <c r="D63" s="27"/>
      <c r="E63" s="27"/>
      <c r="F63" s="27"/>
      <c r="G63" s="27"/>
      <c r="H63" s="27"/>
      <c r="I63" s="27"/>
    </row>
    <row r="64" spans="1:9" ht="12.75">
      <c r="H64" s="27"/>
      <c r="I64" s="27"/>
    </row>
    <row r="65" spans="1:31" ht="12.75">
      <c r="H65" s="27"/>
      <c r="I65" s="27"/>
    </row>
    <row r="66" spans="1:31" ht="12.75">
      <c r="H66" s="27"/>
      <c r="I66" s="27"/>
    </row>
    <row r="67" spans="1:31" ht="12.75">
      <c r="A67" s="565"/>
      <c r="B67" s="565"/>
      <c r="C67" s="615"/>
      <c r="D67" s="615"/>
      <c r="E67" s="615"/>
      <c r="F67" s="615"/>
      <c r="G67" s="615"/>
      <c r="H67" s="27"/>
      <c r="I67" s="27"/>
      <c r="J67" s="615"/>
      <c r="K67" s="615"/>
      <c r="L67" s="615"/>
      <c r="M67" s="615"/>
      <c r="N67" s="615"/>
      <c r="O67" s="615"/>
      <c r="P67" s="615"/>
      <c r="Q67" s="615"/>
      <c r="R67" s="615"/>
      <c r="S67" s="615"/>
      <c r="T67" s="615"/>
      <c r="U67" s="615"/>
      <c r="V67" s="615"/>
      <c r="W67" s="615"/>
      <c r="X67" s="615"/>
      <c r="Y67" s="615"/>
      <c r="Z67" s="615"/>
      <c r="AA67" s="615"/>
      <c r="AB67" s="615"/>
      <c r="AC67" s="615"/>
      <c r="AD67" s="615"/>
      <c r="AE67" s="615"/>
    </row>
    <row r="68" spans="1:31" ht="12.75">
      <c r="A68" s="565"/>
      <c r="B68" s="565"/>
      <c r="C68" s="616"/>
      <c r="D68" s="616"/>
      <c r="E68" s="616"/>
      <c r="F68" s="616"/>
      <c r="G68" s="616"/>
      <c r="H68" s="27"/>
      <c r="I68" s="27"/>
      <c r="J68" s="616"/>
      <c r="K68" s="616"/>
      <c r="L68" s="616"/>
      <c r="M68" s="616"/>
      <c r="N68" s="616"/>
      <c r="O68" s="616"/>
      <c r="P68" s="616"/>
      <c r="Q68" s="616"/>
      <c r="R68" s="616"/>
      <c r="S68" s="616"/>
      <c r="T68" s="616"/>
      <c r="U68" s="616"/>
      <c r="V68" s="616"/>
      <c r="W68" s="616"/>
      <c r="X68" s="616"/>
      <c r="Y68" s="616"/>
      <c r="Z68" s="616"/>
      <c r="AA68" s="616"/>
      <c r="AB68" s="616"/>
      <c r="AC68" s="616"/>
      <c r="AD68" s="616"/>
      <c r="AE68" s="616"/>
    </row>
    <row r="69" spans="1:31" ht="12.75">
      <c r="H69" s="27"/>
      <c r="I69" s="27"/>
    </row>
    <row r="70" spans="1:31" ht="12.75">
      <c r="H70" s="27"/>
      <c r="I70" s="27"/>
    </row>
    <row r="71" spans="1:31" ht="12.75">
      <c r="H71" s="27"/>
      <c r="I71" s="27"/>
    </row>
    <row r="72" spans="1:31" ht="12.75">
      <c r="H72" s="27"/>
      <c r="I72" s="27"/>
    </row>
    <row r="73" spans="1:31" ht="12.75">
      <c r="G73" s="579"/>
      <c r="H73" s="27"/>
      <c r="I73" s="27"/>
    </row>
    <row r="74" spans="1:31" ht="12.75">
      <c r="G74" s="579"/>
      <c r="H74" s="27"/>
      <c r="I74" s="27"/>
    </row>
    <row r="75" spans="1:31" ht="12.75">
      <c r="H75" s="27"/>
      <c r="I75" s="27"/>
    </row>
    <row r="76" spans="1:31" ht="12.75">
      <c r="H76" s="27"/>
      <c r="I76" s="27"/>
    </row>
    <row r="77" spans="1:31" ht="12.75">
      <c r="H77" s="27"/>
      <c r="I77" s="27"/>
    </row>
    <row r="78" spans="1:31" ht="12.75">
      <c r="H78" s="27"/>
      <c r="I78" s="27"/>
    </row>
    <row r="79" spans="1:31" ht="12.75">
      <c r="G79" s="579"/>
      <c r="H79" s="27"/>
      <c r="I79" s="27"/>
    </row>
    <row r="80" spans="1:31" ht="12.75">
      <c r="G80" s="579"/>
      <c r="H80" s="27"/>
      <c r="I80" s="27"/>
    </row>
    <row r="81" spans="1:32" ht="12.75">
      <c r="A81" s="565"/>
      <c r="B81" s="573"/>
      <c r="C81" s="593"/>
      <c r="D81" s="593"/>
      <c r="G81" s="579"/>
      <c r="H81" s="27"/>
      <c r="I81" s="27"/>
    </row>
    <row r="82" spans="1:32" ht="12.75">
      <c r="A82" s="27"/>
      <c r="B82" s="27"/>
      <c r="C82" s="27"/>
      <c r="D82" s="27"/>
      <c r="E82" s="27"/>
      <c r="F82" s="27"/>
      <c r="G82" s="27"/>
      <c r="H82" s="27"/>
      <c r="I82" s="27"/>
    </row>
    <row r="83" spans="1:32" ht="12.75">
      <c r="A83" s="27"/>
      <c r="B83" s="27"/>
      <c r="C83" s="27"/>
      <c r="D83" s="27"/>
      <c r="E83" s="27"/>
      <c r="F83" s="27"/>
      <c r="G83" s="27"/>
      <c r="H83" s="27"/>
      <c r="I83" s="27"/>
    </row>
    <row r="84" spans="1:32" ht="12.75">
      <c r="A84" s="27"/>
      <c r="B84" s="27"/>
      <c r="C84" s="27"/>
      <c r="D84" s="27"/>
      <c r="E84" s="27"/>
      <c r="F84" s="27"/>
      <c r="G84" s="27"/>
      <c r="H84" s="27"/>
      <c r="I84" s="27"/>
    </row>
    <row r="85" spans="1:32" ht="12.75">
      <c r="A85" s="27"/>
      <c r="B85" s="27"/>
      <c r="C85" s="27"/>
      <c r="D85" s="27"/>
      <c r="E85" s="27"/>
      <c r="F85" s="27"/>
      <c r="G85" s="27"/>
      <c r="H85" s="27"/>
      <c r="I85" s="27"/>
    </row>
    <row r="86" spans="1:32" ht="12.75">
      <c r="A86" s="27"/>
      <c r="B86" s="27"/>
      <c r="C86" s="27"/>
      <c r="D86" s="27"/>
      <c r="E86" s="27"/>
      <c r="F86" s="27"/>
      <c r="G86" s="27"/>
      <c r="H86" s="27"/>
      <c r="I86" s="27"/>
    </row>
    <row r="87" spans="1:32" ht="12.75">
      <c r="A87" s="27"/>
      <c r="B87" s="27"/>
      <c r="C87" s="27"/>
      <c r="D87" s="27"/>
      <c r="E87" s="27"/>
      <c r="F87" s="27"/>
      <c r="G87" s="27"/>
      <c r="H87" s="27"/>
      <c r="I87" s="27"/>
    </row>
    <row r="88" spans="1:32" ht="12.75">
      <c r="A88" s="27"/>
      <c r="B88" s="27"/>
      <c r="C88" s="27"/>
      <c r="D88" s="27"/>
      <c r="E88" s="27"/>
      <c r="F88" s="27"/>
      <c r="G88" s="27"/>
      <c r="H88" s="27"/>
      <c r="I88" s="27"/>
    </row>
    <row r="89" spans="1:32" ht="11.45" customHeight="1">
      <c r="A89" s="565"/>
      <c r="B89" s="573"/>
      <c r="C89" s="593"/>
      <c r="D89" s="593"/>
      <c r="G89" s="579"/>
      <c r="H89" s="579"/>
      <c r="I89" s="579"/>
    </row>
    <row r="90" spans="1:32" ht="11.45" customHeight="1">
      <c r="A90" s="565"/>
      <c r="B90" s="573"/>
      <c r="C90" s="573"/>
      <c r="D90" s="573"/>
      <c r="E90" s="593"/>
      <c r="H90" s="579"/>
      <c r="I90" s="579"/>
    </row>
    <row r="91" spans="1:32" ht="11.45" customHeight="1">
      <c r="A91" s="573"/>
      <c r="B91" s="565"/>
      <c r="C91" s="565"/>
      <c r="D91" s="565"/>
      <c r="E91" s="615"/>
      <c r="F91" s="615"/>
      <c r="G91" s="615"/>
      <c r="H91" s="615"/>
      <c r="I91" s="615"/>
      <c r="J91" s="615"/>
      <c r="K91" s="615"/>
      <c r="L91" s="615"/>
      <c r="M91" s="615"/>
      <c r="N91" s="615"/>
      <c r="O91" s="615"/>
      <c r="P91" s="615"/>
      <c r="Q91" s="615"/>
      <c r="R91" s="615"/>
      <c r="S91" s="615"/>
      <c r="T91" s="615"/>
      <c r="U91" s="615"/>
      <c r="V91" s="615"/>
      <c r="W91" s="615"/>
      <c r="X91" s="615"/>
      <c r="Y91" s="615"/>
      <c r="Z91" s="615"/>
      <c r="AA91" s="615"/>
      <c r="AB91" s="615"/>
      <c r="AC91" s="615"/>
      <c r="AD91" s="615"/>
      <c r="AE91" s="615"/>
      <c r="AF91" s="615"/>
    </row>
    <row r="92" spans="1:32" ht="11.45" customHeight="1">
      <c r="A92" s="573"/>
      <c r="B92" s="565"/>
      <c r="C92" s="565"/>
      <c r="D92" s="565"/>
      <c r="E92" s="616"/>
      <c r="F92" s="616"/>
      <c r="G92" s="616"/>
      <c r="H92" s="616"/>
      <c r="I92" s="616"/>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row>
    <row r="93" spans="1:32" ht="11.45" customHeight="1">
      <c r="A93" s="565"/>
      <c r="B93" s="573"/>
      <c r="C93" s="573"/>
      <c r="D93" s="573"/>
      <c r="E93" s="593"/>
      <c r="H93" s="579"/>
      <c r="I93" s="579"/>
    </row>
    <row r="94" spans="1:32" ht="11.45" customHeight="1">
      <c r="A94" s="565"/>
      <c r="B94" s="573"/>
      <c r="C94" s="573"/>
      <c r="D94" s="573"/>
      <c r="E94" s="573"/>
      <c r="F94" s="573"/>
      <c r="G94" s="573"/>
      <c r="H94" s="573"/>
      <c r="I94" s="573"/>
      <c r="J94" s="573"/>
      <c r="K94" s="573"/>
      <c r="L94" s="573"/>
      <c r="M94" s="573"/>
      <c r="N94" s="573"/>
      <c r="O94" s="573"/>
      <c r="P94" s="573"/>
      <c r="Q94" s="573"/>
      <c r="R94" s="573"/>
      <c r="S94" s="573"/>
      <c r="T94" s="573"/>
      <c r="U94" s="573"/>
      <c r="V94" s="573"/>
      <c r="W94" s="573"/>
      <c r="X94" s="573"/>
      <c r="Y94" s="573"/>
      <c r="Z94" s="573"/>
      <c r="AA94" s="573"/>
      <c r="AB94" s="573"/>
      <c r="AC94" s="573"/>
      <c r="AD94" s="573"/>
      <c r="AE94" s="573"/>
      <c r="AF94" s="573"/>
    </row>
    <row r="95" spans="1:32" ht="11.45" customHeight="1">
      <c r="A95" s="565"/>
      <c r="B95" s="565"/>
      <c r="C95" s="565"/>
      <c r="D95" s="565"/>
      <c r="E95" s="615"/>
      <c r="F95" s="615"/>
      <c r="G95" s="615"/>
      <c r="H95" s="615"/>
      <c r="I95" s="615"/>
      <c r="J95" s="615"/>
      <c r="K95" s="615"/>
      <c r="L95" s="615"/>
      <c r="M95" s="615"/>
      <c r="N95" s="615"/>
      <c r="O95" s="615"/>
      <c r="P95" s="615"/>
      <c r="Q95" s="615"/>
      <c r="R95" s="615"/>
      <c r="S95" s="615"/>
      <c r="T95" s="615"/>
      <c r="U95" s="615"/>
      <c r="V95" s="615"/>
      <c r="W95" s="615"/>
      <c r="X95" s="615"/>
      <c r="Y95" s="615"/>
      <c r="Z95" s="615"/>
      <c r="AA95" s="615"/>
      <c r="AB95" s="615"/>
      <c r="AC95" s="615"/>
      <c r="AD95" s="615"/>
      <c r="AE95" s="615"/>
      <c r="AF95" s="615"/>
    </row>
    <row r="96" spans="1:32" ht="11.45" customHeight="1">
      <c r="A96" s="565"/>
      <c r="B96" s="573"/>
      <c r="C96" s="573"/>
      <c r="D96" s="573"/>
      <c r="E96" s="573"/>
      <c r="F96" s="617"/>
      <c r="G96" s="617"/>
      <c r="H96" s="617"/>
      <c r="I96" s="617"/>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row>
    <row r="97" spans="1:32" ht="11.45" customHeight="1">
      <c r="A97" s="565"/>
      <c r="B97" s="565"/>
      <c r="C97" s="565"/>
      <c r="D97" s="565"/>
      <c r="E97" s="573"/>
      <c r="F97" s="617"/>
      <c r="G97" s="617"/>
      <c r="H97" s="617"/>
      <c r="I97" s="617"/>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row>
    <row r="98" spans="1:32" ht="11.45" customHeight="1">
      <c r="A98" s="565"/>
      <c r="B98" s="565"/>
      <c r="C98" s="565"/>
      <c r="D98" s="565"/>
      <c r="E98" s="573"/>
      <c r="F98" s="617"/>
      <c r="G98" s="617"/>
      <c r="H98" s="617"/>
      <c r="I98" s="617"/>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row>
    <row r="99" spans="1:32" ht="12.75">
      <c r="A99" s="27"/>
      <c r="B99" s="27"/>
      <c r="C99" s="27"/>
      <c r="D99" s="27"/>
      <c r="E99" s="27"/>
      <c r="F99" s="27"/>
      <c r="G99" s="27"/>
      <c r="H99" s="27"/>
    </row>
    <row r="100" spans="1:32" ht="12.75">
      <c r="A100" s="27"/>
      <c r="B100" s="27"/>
      <c r="C100" s="27"/>
      <c r="D100" s="27"/>
      <c r="E100" s="27"/>
      <c r="F100" s="27"/>
      <c r="G100" s="27"/>
      <c r="H100" s="27"/>
    </row>
    <row r="101" spans="1:32" ht="12.75">
      <c r="A101" s="27"/>
      <c r="B101" s="27"/>
      <c r="C101" s="27"/>
      <c r="D101" s="27"/>
      <c r="E101" s="27"/>
      <c r="F101" s="27"/>
      <c r="G101" s="27"/>
      <c r="H101" s="27"/>
    </row>
    <row r="102" spans="1:32" ht="12.75">
      <c r="A102" s="27"/>
      <c r="B102" s="27"/>
      <c r="C102" s="27"/>
      <c r="D102" s="27"/>
      <c r="E102" s="27"/>
      <c r="F102" s="27"/>
      <c r="G102" s="27"/>
      <c r="H102" s="27"/>
    </row>
    <row r="103" spans="1:32" ht="12.75">
      <c r="A103" s="27"/>
      <c r="B103" s="27"/>
      <c r="C103" s="27"/>
      <c r="D103" s="27"/>
      <c r="E103" s="27"/>
      <c r="F103" s="27"/>
      <c r="G103" s="27"/>
      <c r="H103" s="27"/>
    </row>
    <row r="104" spans="1:32" ht="12.75">
      <c r="A104" s="27"/>
      <c r="B104" s="27"/>
      <c r="C104" s="27"/>
      <c r="D104" s="27"/>
      <c r="E104" s="27"/>
      <c r="F104" s="27"/>
      <c r="G104" s="27"/>
      <c r="H104" s="27"/>
    </row>
    <row r="105" spans="1:32" ht="12.75">
      <c r="A105" s="27"/>
      <c r="B105" s="27"/>
      <c r="C105" s="27"/>
      <c r="D105" s="27"/>
      <c r="E105" s="27"/>
      <c r="F105" s="27"/>
      <c r="G105" s="27"/>
      <c r="H105" s="27"/>
    </row>
    <row r="106" spans="1:32" ht="12.75">
      <c r="A106" s="27"/>
      <c r="B106" s="27"/>
      <c r="C106" s="27"/>
      <c r="D106" s="27"/>
      <c r="E106" s="27"/>
      <c r="F106" s="27"/>
      <c r="G106" s="27"/>
      <c r="H106" s="27"/>
    </row>
    <row r="107" spans="1:32" ht="12.75">
      <c r="A107" s="27"/>
      <c r="B107" s="27"/>
      <c r="C107" s="27"/>
      <c r="D107" s="27"/>
      <c r="E107" s="27"/>
      <c r="F107" s="27"/>
      <c r="G107" s="27"/>
      <c r="H107" s="27"/>
    </row>
    <row r="108" spans="1:32" ht="12.75">
      <c r="A108" s="27"/>
      <c r="B108" s="27"/>
      <c r="C108" s="27"/>
      <c r="D108" s="27"/>
      <c r="E108" s="27"/>
      <c r="F108" s="27"/>
      <c r="G108" s="27"/>
      <c r="H108" s="27"/>
    </row>
    <row r="109" spans="1:32" ht="12.75">
      <c r="A109" s="27"/>
      <c r="B109" s="27"/>
      <c r="C109" s="27"/>
      <c r="D109" s="27"/>
      <c r="E109" s="27"/>
      <c r="F109" s="27"/>
      <c r="G109" s="27"/>
      <c r="H109" s="27"/>
    </row>
    <row r="110" spans="1:32" ht="12.75">
      <c r="A110" s="27"/>
      <c r="B110" s="27"/>
      <c r="C110" s="27"/>
      <c r="D110" s="27"/>
      <c r="E110" s="27"/>
      <c r="F110" s="27"/>
      <c r="G110" s="27"/>
      <c r="H110" s="27"/>
    </row>
    <row r="111" spans="1:32" ht="12.75">
      <c r="A111" s="27"/>
      <c r="B111" s="27"/>
      <c r="C111" s="27"/>
      <c r="D111" s="27"/>
      <c r="E111" s="27"/>
      <c r="F111" s="27"/>
      <c r="G111" s="27"/>
      <c r="H111" s="27"/>
    </row>
    <row r="112" spans="1:32" ht="12.75">
      <c r="A112" s="27"/>
      <c r="B112" s="27"/>
      <c r="C112" s="27"/>
      <c r="D112" s="27"/>
      <c r="E112" s="27"/>
      <c r="F112" s="27"/>
      <c r="G112" s="27"/>
      <c r="H112" s="27"/>
    </row>
    <row r="113" spans="1:8" ht="12.75">
      <c r="A113" s="27"/>
      <c r="B113" s="27"/>
      <c r="C113" s="27"/>
      <c r="D113" s="27"/>
      <c r="E113" s="27"/>
      <c r="F113" s="27"/>
      <c r="G113" s="27"/>
      <c r="H113" s="27"/>
    </row>
    <row r="114" spans="1:8" ht="12.75">
      <c r="A114" s="27"/>
      <c r="B114" s="27"/>
      <c r="C114" s="27"/>
      <c r="D114" s="27"/>
      <c r="E114" s="27"/>
      <c r="F114" s="27"/>
      <c r="G114" s="27"/>
      <c r="H114" s="27"/>
    </row>
    <row r="115" spans="1:8" ht="12.75">
      <c r="A115" s="27"/>
      <c r="B115" s="27"/>
      <c r="C115" s="27"/>
      <c r="D115" s="27"/>
      <c r="E115" s="27"/>
      <c r="F115" s="27"/>
      <c r="G115" s="27"/>
      <c r="H115" s="27"/>
    </row>
    <row r="116" spans="1:8" ht="12.75">
      <c r="A116" s="27"/>
      <c r="B116" s="27"/>
      <c r="C116" s="27"/>
      <c r="D116" s="27"/>
      <c r="E116" s="27"/>
      <c r="F116" s="27"/>
      <c r="G116" s="27"/>
      <c r="H116" s="27"/>
    </row>
    <row r="117" spans="1:8" ht="12.75">
      <c r="A117" s="27"/>
      <c r="B117" s="27"/>
      <c r="C117" s="27"/>
      <c r="D117" s="27"/>
      <c r="E117" s="27"/>
      <c r="F117" s="27"/>
      <c r="G117" s="27"/>
      <c r="H117" s="27"/>
    </row>
    <row r="118" spans="1:8" ht="12.75">
      <c r="A118" s="27"/>
      <c r="B118" s="27"/>
      <c r="C118" s="27"/>
      <c r="D118" s="27"/>
      <c r="E118" s="27"/>
      <c r="F118" s="27"/>
      <c r="G118" s="27"/>
      <c r="H118" s="27"/>
    </row>
    <row r="119" spans="1:8" ht="12.75">
      <c r="A119" s="27"/>
      <c r="B119" s="27"/>
      <c r="C119" s="27"/>
      <c r="D119" s="27"/>
      <c r="E119" s="27"/>
      <c r="F119" s="27"/>
      <c r="G119" s="27"/>
      <c r="H119" s="27"/>
    </row>
    <row r="120" spans="1:8" ht="12.75">
      <c r="A120" s="27"/>
      <c r="B120" s="27"/>
      <c r="C120" s="27"/>
      <c r="D120" s="27"/>
      <c r="E120" s="27"/>
      <c r="F120" s="27"/>
      <c r="G120" s="27"/>
      <c r="H120" s="27"/>
    </row>
    <row r="121" spans="1:8" ht="12.75">
      <c r="A121" s="27"/>
      <c r="B121" s="27"/>
      <c r="C121" s="27"/>
      <c r="D121" s="27"/>
      <c r="E121" s="27"/>
      <c r="F121" s="27"/>
      <c r="G121" s="27"/>
      <c r="H121" s="27"/>
    </row>
    <row r="122" spans="1:8" ht="12.75">
      <c r="A122" s="27"/>
      <c r="B122" s="27"/>
      <c r="C122" s="27"/>
      <c r="D122" s="27"/>
      <c r="E122" s="27"/>
      <c r="F122" s="27"/>
      <c r="G122" s="27"/>
      <c r="H122" s="27"/>
    </row>
    <row r="123" spans="1:8" ht="12.75">
      <c r="A123" s="27"/>
      <c r="B123" s="27"/>
      <c r="C123" s="27"/>
      <c r="D123" s="27"/>
      <c r="E123" s="27"/>
      <c r="F123" s="27"/>
      <c r="G123" s="27"/>
      <c r="H123" s="27"/>
    </row>
    <row r="124" spans="1:8" ht="12.75">
      <c r="A124" s="27"/>
      <c r="B124" s="27"/>
      <c r="C124" s="27"/>
      <c r="D124" s="27"/>
      <c r="E124" s="27"/>
      <c r="F124" s="27"/>
      <c r="G124" s="27"/>
      <c r="H124" s="27"/>
    </row>
    <row r="125" spans="1:8" ht="12.75">
      <c r="A125" s="27"/>
      <c r="B125" s="27"/>
      <c r="C125" s="27"/>
      <c r="D125" s="27"/>
      <c r="E125" s="27"/>
      <c r="F125" s="27"/>
      <c r="G125" s="27"/>
      <c r="H125" s="27"/>
    </row>
    <row r="126" spans="1:8" ht="12.75">
      <c r="A126" s="27"/>
      <c r="B126" s="27"/>
      <c r="C126" s="27"/>
      <c r="D126" s="27"/>
      <c r="E126" s="27"/>
      <c r="F126" s="27"/>
      <c r="G126" s="27"/>
      <c r="H126" s="27"/>
    </row>
    <row r="127" spans="1:8" ht="12.75">
      <c r="A127" s="27"/>
      <c r="B127" s="27"/>
      <c r="C127" s="27"/>
      <c r="D127" s="27"/>
      <c r="E127" s="27"/>
      <c r="F127" s="27"/>
      <c r="G127" s="27"/>
      <c r="H127" s="27"/>
    </row>
    <row r="128" spans="1:8" ht="12.75">
      <c r="A128" s="27"/>
      <c r="B128" s="27"/>
      <c r="C128" s="27"/>
      <c r="D128" s="27"/>
      <c r="E128" s="27"/>
      <c r="F128" s="27"/>
      <c r="G128" s="27"/>
      <c r="H128" s="27"/>
    </row>
    <row r="129" spans="1:8" ht="12.75">
      <c r="A129" s="27"/>
      <c r="B129" s="27"/>
      <c r="C129" s="27"/>
      <c r="D129" s="27"/>
      <c r="E129" s="27"/>
      <c r="F129" s="27"/>
      <c r="G129" s="27"/>
      <c r="H129" s="27"/>
    </row>
    <row r="130" spans="1:8" ht="12.75">
      <c r="A130" s="27"/>
      <c r="B130" s="27"/>
      <c r="C130" s="27"/>
      <c r="D130" s="27"/>
      <c r="E130" s="27"/>
      <c r="F130" s="27"/>
      <c r="G130" s="27"/>
      <c r="H130" s="27"/>
    </row>
    <row r="131" spans="1:8" ht="12.75">
      <c r="A131" s="27"/>
      <c r="B131" s="27"/>
      <c r="C131" s="27"/>
      <c r="D131" s="27"/>
      <c r="E131" s="27"/>
      <c r="F131" s="27"/>
      <c r="G131" s="27"/>
      <c r="H131" s="27"/>
    </row>
    <row r="132" spans="1:8" ht="12.75">
      <c r="A132" s="27"/>
      <c r="B132" s="27"/>
      <c r="C132" s="27"/>
      <c r="D132" s="27"/>
      <c r="E132" s="27"/>
      <c r="F132" s="27"/>
      <c r="G132" s="27"/>
      <c r="H132" s="27"/>
    </row>
    <row r="165" spans="5:5">
      <c r="E165" s="618"/>
    </row>
    <row r="290" spans="1:9" ht="11.45" customHeight="1">
      <c r="G290" s="579"/>
      <c r="H290" s="579"/>
      <c r="I290" s="579"/>
    </row>
    <row r="291" spans="1:9" ht="11.45" customHeight="1">
      <c r="G291" s="579"/>
      <c r="H291" s="579"/>
      <c r="I291" s="579"/>
    </row>
    <row r="292" spans="1:9" ht="11.45" customHeight="1">
      <c r="E292" s="559"/>
      <c r="G292" s="579"/>
      <c r="H292" s="579"/>
      <c r="I292" s="579"/>
    </row>
    <row r="293" spans="1:9" ht="11.45" customHeight="1">
      <c r="G293" s="579"/>
      <c r="H293" s="579"/>
      <c r="I293" s="579"/>
    </row>
    <row r="294" spans="1:9">
      <c r="F294" s="579"/>
      <c r="G294" s="579"/>
      <c r="H294" s="579"/>
      <c r="I294" s="579"/>
    </row>
    <row r="295" spans="1:9" ht="12.75">
      <c r="F295" s="27"/>
      <c r="G295" s="27"/>
      <c r="H295" s="27"/>
    </row>
    <row r="296" spans="1:9" ht="12.75">
      <c r="F296" s="27"/>
      <c r="G296" s="27"/>
      <c r="H296" s="27"/>
    </row>
    <row r="297" spans="1:9" ht="12.75">
      <c r="F297" s="27"/>
      <c r="G297" s="27"/>
      <c r="H297" s="27"/>
    </row>
    <row r="298" spans="1:9" ht="12.75">
      <c r="F298" s="27"/>
      <c r="G298" s="27"/>
      <c r="H298" s="27"/>
    </row>
    <row r="299" spans="1:9" ht="12.75">
      <c r="F299" s="27"/>
      <c r="G299" s="27"/>
      <c r="H299" s="27"/>
    </row>
    <row r="300" spans="1:9" ht="12.75">
      <c r="F300" s="27"/>
      <c r="G300" s="27"/>
      <c r="H300" s="27"/>
    </row>
    <row r="301" spans="1:9" ht="12.75">
      <c r="F301" s="27"/>
      <c r="G301" s="27"/>
      <c r="H301" s="27"/>
    </row>
    <row r="302" spans="1:9" ht="12.75">
      <c r="A302" s="27"/>
      <c r="B302" s="27"/>
      <c r="C302" s="27"/>
      <c r="D302" s="27"/>
      <c r="E302" s="27"/>
      <c r="F302" s="27"/>
      <c r="G302" s="27"/>
      <c r="H302" s="27"/>
    </row>
    <row r="303" spans="1:9" ht="12.75">
      <c r="A303" s="27"/>
      <c r="B303" s="27"/>
      <c r="C303" s="27"/>
      <c r="D303" s="27"/>
      <c r="E303" s="27"/>
      <c r="F303" s="27"/>
      <c r="G303" s="27"/>
      <c r="H303" s="27"/>
    </row>
    <row r="304" spans="1:9" ht="11.45" customHeight="1">
      <c r="A304" s="565"/>
      <c r="B304" s="573"/>
      <c r="C304" s="573"/>
      <c r="D304" s="573"/>
      <c r="E304" s="593"/>
      <c r="H304" s="579"/>
      <c r="I304" s="579"/>
    </row>
    <row r="305" spans="1:32" ht="11.45" customHeight="1">
      <c r="A305" s="573"/>
      <c r="B305" s="565"/>
      <c r="C305" s="565"/>
      <c r="D305" s="565"/>
      <c r="E305" s="615"/>
      <c r="F305" s="615"/>
      <c r="G305" s="615"/>
      <c r="H305" s="615"/>
      <c r="I305" s="615"/>
      <c r="J305" s="615"/>
      <c r="K305" s="615"/>
      <c r="L305" s="615"/>
      <c r="M305" s="615"/>
      <c r="N305" s="615"/>
      <c r="O305" s="615"/>
      <c r="P305" s="615"/>
      <c r="Q305" s="615"/>
      <c r="R305" s="615"/>
      <c r="S305" s="615"/>
      <c r="T305" s="615"/>
      <c r="U305" s="615"/>
      <c r="V305" s="615"/>
      <c r="W305" s="615"/>
      <c r="X305" s="615"/>
      <c r="Y305" s="615"/>
      <c r="Z305" s="615"/>
      <c r="AA305" s="615"/>
      <c r="AB305" s="615"/>
      <c r="AC305" s="615"/>
      <c r="AD305" s="615"/>
      <c r="AE305" s="615"/>
      <c r="AF305" s="615"/>
    </row>
    <row r="306" spans="1:32" ht="11.45" customHeight="1">
      <c r="A306" s="573"/>
      <c r="B306" s="565"/>
      <c r="C306" s="565"/>
      <c r="D306" s="565"/>
      <c r="E306" s="616"/>
      <c r="F306" s="616"/>
      <c r="G306" s="616"/>
      <c r="H306" s="616"/>
      <c r="I306" s="616"/>
      <c r="J306" s="616"/>
      <c r="K306" s="616"/>
      <c r="L306" s="616"/>
      <c r="M306" s="616"/>
      <c r="N306" s="616"/>
      <c r="O306" s="616"/>
      <c r="P306" s="616"/>
      <c r="Q306" s="616"/>
      <c r="R306" s="616"/>
      <c r="S306" s="616"/>
      <c r="T306" s="616"/>
      <c r="U306" s="616"/>
      <c r="V306" s="616"/>
      <c r="W306" s="616"/>
      <c r="X306" s="616"/>
      <c r="Y306" s="616"/>
      <c r="Z306" s="616"/>
      <c r="AA306" s="616"/>
      <c r="AB306" s="616"/>
      <c r="AC306" s="616"/>
      <c r="AD306" s="616"/>
      <c r="AE306" s="616"/>
      <c r="AF306" s="616"/>
    </row>
    <row r="307" spans="1:32" ht="11.45" customHeight="1">
      <c r="A307" s="565"/>
      <c r="B307" s="573"/>
      <c r="C307" s="573"/>
      <c r="D307" s="573"/>
      <c r="E307" s="593"/>
      <c r="H307" s="579"/>
      <c r="I307" s="579"/>
    </row>
    <row r="308" spans="1:32" ht="11.45" customHeight="1">
      <c r="A308" s="565"/>
      <c r="B308" s="573"/>
      <c r="C308" s="573"/>
      <c r="D308" s="573"/>
      <c r="E308" s="573"/>
      <c r="F308" s="573"/>
      <c r="G308" s="573"/>
      <c r="H308" s="573"/>
      <c r="I308" s="573"/>
      <c r="J308" s="573"/>
      <c r="K308" s="573"/>
      <c r="L308" s="573"/>
      <c r="M308" s="573"/>
      <c r="N308" s="573"/>
      <c r="O308" s="573"/>
      <c r="P308" s="573"/>
      <c r="Q308" s="573"/>
      <c r="R308" s="573"/>
      <c r="S308" s="573"/>
      <c r="T308" s="573"/>
      <c r="U308" s="573"/>
      <c r="V308" s="573"/>
      <c r="W308" s="573"/>
      <c r="X308" s="573"/>
      <c r="Y308" s="573"/>
      <c r="Z308" s="573"/>
      <c r="AA308" s="573"/>
      <c r="AB308" s="573"/>
      <c r="AC308" s="573"/>
      <c r="AD308" s="573"/>
      <c r="AE308" s="573"/>
      <c r="AF308" s="573"/>
    </row>
    <row r="309" spans="1:32" ht="11.45" customHeight="1">
      <c r="A309" s="565"/>
      <c r="B309" s="565"/>
      <c r="C309" s="565"/>
      <c r="D309" s="565"/>
      <c r="E309" s="615"/>
      <c r="F309" s="615"/>
      <c r="G309" s="615"/>
      <c r="H309" s="615"/>
      <c r="I309" s="615"/>
      <c r="J309" s="615"/>
      <c r="K309" s="615"/>
      <c r="L309" s="615"/>
      <c r="M309" s="615"/>
      <c r="N309" s="615"/>
      <c r="O309" s="615"/>
      <c r="P309" s="615"/>
      <c r="Q309" s="615"/>
      <c r="R309" s="615"/>
      <c r="S309" s="615"/>
      <c r="T309" s="615"/>
      <c r="U309" s="615"/>
      <c r="V309" s="615"/>
      <c r="W309" s="615"/>
      <c r="X309" s="615"/>
      <c r="Y309" s="615"/>
      <c r="Z309" s="615"/>
      <c r="AA309" s="615"/>
      <c r="AB309" s="615"/>
      <c r="AC309" s="615"/>
      <c r="AD309" s="615"/>
      <c r="AE309" s="615"/>
      <c r="AF309" s="615"/>
    </row>
    <row r="310" spans="1:32" ht="11.45" customHeight="1">
      <c r="A310" s="565"/>
      <c r="B310" s="573"/>
      <c r="C310" s="573"/>
      <c r="D310" s="573"/>
      <c r="E310" s="573"/>
      <c r="F310" s="617"/>
      <c r="G310" s="617"/>
      <c r="H310" s="617"/>
      <c r="I310" s="617"/>
      <c r="J310" s="617"/>
      <c r="K310" s="617"/>
      <c r="L310" s="617"/>
      <c r="M310" s="617"/>
      <c r="N310" s="617"/>
      <c r="O310" s="617"/>
      <c r="P310" s="617"/>
      <c r="Q310" s="617"/>
      <c r="R310" s="617"/>
      <c r="S310" s="617"/>
      <c r="T310" s="617"/>
      <c r="U310" s="617"/>
      <c r="V310" s="617"/>
      <c r="W310" s="617"/>
      <c r="X310" s="617"/>
      <c r="Y310" s="617"/>
      <c r="Z310" s="617"/>
      <c r="AA310" s="617"/>
      <c r="AB310" s="617"/>
      <c r="AC310" s="617"/>
      <c r="AD310" s="617"/>
      <c r="AE310" s="617"/>
      <c r="AF310" s="617"/>
    </row>
    <row r="311" spans="1:32" ht="11.45" customHeight="1">
      <c r="A311" s="565"/>
      <c r="B311" s="565"/>
      <c r="C311" s="565"/>
      <c r="D311" s="565"/>
      <c r="E311" s="573"/>
      <c r="F311" s="617"/>
      <c r="G311" s="617"/>
      <c r="H311" s="617"/>
      <c r="I311" s="617"/>
      <c r="J311" s="617"/>
      <c r="K311" s="617"/>
      <c r="L311" s="617"/>
      <c r="M311" s="617"/>
      <c r="N311" s="617"/>
      <c r="O311" s="617"/>
      <c r="P311" s="617"/>
      <c r="Q311" s="617"/>
      <c r="R311" s="617"/>
      <c r="S311" s="617"/>
      <c r="T311" s="617"/>
      <c r="U311" s="617"/>
      <c r="V311" s="617"/>
      <c r="W311" s="617"/>
      <c r="X311" s="617"/>
      <c r="Y311" s="617"/>
      <c r="Z311" s="617"/>
      <c r="AA311" s="617"/>
      <c r="AB311" s="617"/>
      <c r="AC311" s="617"/>
      <c r="AD311" s="617"/>
      <c r="AE311" s="617"/>
      <c r="AF311" s="617"/>
    </row>
    <row r="312" spans="1:32" ht="11.45" customHeight="1">
      <c r="A312" s="565"/>
      <c r="B312" s="565"/>
      <c r="C312" s="565"/>
      <c r="D312" s="565"/>
      <c r="E312" s="573"/>
      <c r="F312" s="617"/>
      <c r="G312" s="617"/>
      <c r="H312" s="617"/>
      <c r="I312" s="617"/>
      <c r="J312" s="617"/>
      <c r="K312" s="617"/>
      <c r="L312" s="617"/>
      <c r="M312" s="617"/>
      <c r="N312" s="617"/>
      <c r="O312" s="617"/>
      <c r="P312" s="617"/>
      <c r="Q312" s="617"/>
      <c r="R312" s="617"/>
      <c r="S312" s="617"/>
      <c r="T312" s="617"/>
      <c r="U312" s="617"/>
      <c r="V312" s="617"/>
      <c r="W312" s="617"/>
      <c r="X312" s="617"/>
      <c r="Y312" s="617"/>
      <c r="Z312" s="617"/>
      <c r="AA312" s="617"/>
      <c r="AB312" s="617"/>
      <c r="AC312" s="617"/>
      <c r="AD312" s="617"/>
      <c r="AE312" s="617"/>
      <c r="AF312" s="617"/>
    </row>
  </sheetData>
  <customSheetViews>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1"/>
      <headerFooter alignWithMargins="0">
        <oddFooter>&amp;L&amp;D   &amp;T&amp;RO:\Naes\GenSvcs\Tva\Tva Models\&amp;F
&amp;A   &amp;P</oddFooter>
      </headerFooter>
    </customSheetView>
    <customSheetView guid="{9D7575BF-255B-11D2-8267-00A0D1027254}" showPageBreaks="1" showRuler="0">
      <pageMargins left="0.39" right="0.24" top="1" bottom="1" header="0.5" footer="0.5"/>
      <pageSetup scale="68" orientation="landscape" r:id="rId2"/>
      <headerFooter alignWithMargins="0">
        <oddFooter>&amp;L&amp;D   &amp;T&amp;RO:\Naes\GenSvcs\TVA\TVA Model\&amp;F
&amp;A &amp;P</oddFooter>
      </headerFooter>
    </customSheetView>
  </customSheetViews>
  <pageMargins left="0.25" right="0.25" top="0.25" bottom="0.5" header="0" footer="0"/>
  <pageSetup scale="79"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E44"/>
  <sheetViews>
    <sheetView zoomScale="75" zoomScaleNormal="75" zoomScaleSheetLayoutView="85" workbookViewId="0">
      <selection activeCell="A12" sqref="A12"/>
    </sheetView>
  </sheetViews>
  <sheetFormatPr defaultColWidth="8.7109375" defaultRowHeight="12.75"/>
  <cols>
    <col min="1" max="1" width="27" style="27" customWidth="1"/>
    <col min="2" max="2" width="8.7109375" style="27" customWidth="1"/>
    <col min="3" max="4" width="6.5703125" style="27" bestFit="1" customWidth="1"/>
    <col min="5" max="5" width="9.7109375" style="27" customWidth="1"/>
    <col min="6" max="6" width="8.85546875" style="27" customWidth="1"/>
    <col min="7" max="7" width="7" style="27" bestFit="1" customWidth="1"/>
    <col min="8" max="8" width="12" style="27" customWidth="1"/>
    <col min="9" max="9" width="7" style="27" bestFit="1" customWidth="1"/>
    <col min="10" max="10" width="8.5703125" style="27" customWidth="1"/>
    <col min="11" max="11" width="7" style="27" bestFit="1" customWidth="1"/>
    <col min="12" max="12" width="7.140625" style="27" bestFit="1" customWidth="1"/>
    <col min="13" max="14" width="7" style="27" bestFit="1" customWidth="1"/>
    <col min="15" max="15" width="6.5703125" style="27" bestFit="1" customWidth="1"/>
    <col min="16" max="16" width="7.28515625" style="27" bestFit="1" customWidth="1"/>
    <col min="17" max="17" width="6.5703125" style="27" bestFit="1" customWidth="1"/>
    <col min="18" max="22" width="7.28515625" style="27" bestFit="1" customWidth="1"/>
    <col min="23" max="23" width="7.42578125" style="27" bestFit="1" customWidth="1"/>
    <col min="24" max="28" width="7.7109375" style="27" bestFit="1" customWidth="1"/>
    <col min="29" max="31" width="8.7109375" style="27" customWidth="1"/>
    <col min="32" max="16384" width="8.7109375" style="26"/>
  </cols>
  <sheetData>
    <row r="1" spans="1:31" ht="20.25">
      <c r="A1" s="486" t="str">
        <f>'Project Assumptions'!$A$2</f>
        <v>WILTON CENTER, Will County, IL</v>
      </c>
      <c r="B1" s="487"/>
      <c r="C1" s="487"/>
      <c r="D1" s="487"/>
      <c r="E1" s="535"/>
    </row>
    <row r="2" spans="1:31">
      <c r="A2" s="490" t="s">
        <v>418</v>
      </c>
      <c r="B2" s="491"/>
      <c r="C2" s="491"/>
      <c r="D2" s="491"/>
      <c r="E2" s="536"/>
    </row>
    <row r="3" spans="1:31" s="25" customFormat="1" ht="11.25" customHeight="1">
      <c r="A3" s="66"/>
      <c r="B3" s="66"/>
      <c r="C3" s="550"/>
      <c r="D3" s="550"/>
      <c r="E3" s="550"/>
      <c r="F3" s="550"/>
      <c r="G3" s="550"/>
      <c r="H3" s="550"/>
      <c r="I3" s="550"/>
      <c r="J3" s="550"/>
      <c r="K3" s="550"/>
      <c r="L3" s="550"/>
      <c r="M3" s="550"/>
      <c r="N3" s="550"/>
      <c r="O3" s="550"/>
      <c r="P3" s="550"/>
      <c r="Q3" s="550"/>
      <c r="R3" s="66"/>
      <c r="S3" s="66"/>
      <c r="T3" s="66"/>
      <c r="U3" s="66"/>
      <c r="V3" s="66"/>
      <c r="W3" s="66"/>
      <c r="X3" s="66"/>
      <c r="Y3" s="66"/>
      <c r="Z3" s="66"/>
      <c r="AA3" s="66"/>
      <c r="AB3" s="66"/>
      <c r="AC3" s="66"/>
      <c r="AD3" s="66"/>
      <c r="AE3" s="66"/>
    </row>
    <row r="4" spans="1:31" s="24" customFormat="1" ht="11.25" customHeight="1">
      <c r="A4" s="34"/>
      <c r="B4" s="34"/>
      <c r="C4" s="36">
        <v>0</v>
      </c>
      <c r="D4" s="36">
        <v>1</v>
      </c>
      <c r="E4" s="36">
        <v>2</v>
      </c>
      <c r="F4" s="36">
        <v>3</v>
      </c>
      <c r="G4" s="36">
        <v>4</v>
      </c>
      <c r="H4" s="36">
        <v>5</v>
      </c>
      <c r="I4" s="36">
        <v>6</v>
      </c>
      <c r="J4" s="35">
        <v>7</v>
      </c>
      <c r="K4" s="36">
        <v>8</v>
      </c>
      <c r="L4" s="36">
        <v>9</v>
      </c>
      <c r="M4" s="36">
        <v>10</v>
      </c>
      <c r="N4" s="36">
        <v>11</v>
      </c>
      <c r="O4" s="36">
        <v>12</v>
      </c>
      <c r="P4" s="35">
        <v>13</v>
      </c>
      <c r="Q4" s="36">
        <v>14</v>
      </c>
      <c r="R4" s="36">
        <v>15</v>
      </c>
      <c r="S4" s="36">
        <v>16</v>
      </c>
      <c r="T4" s="36">
        <v>17</v>
      </c>
      <c r="U4" s="36">
        <v>18</v>
      </c>
      <c r="V4" s="35">
        <v>19</v>
      </c>
      <c r="W4" s="36">
        <v>20</v>
      </c>
      <c r="X4" s="36">
        <v>21</v>
      </c>
      <c r="Y4" s="36">
        <v>22</v>
      </c>
      <c r="Z4" s="36">
        <v>23</v>
      </c>
      <c r="AA4" s="36">
        <v>24</v>
      </c>
      <c r="AB4" s="35">
        <v>25</v>
      </c>
      <c r="AC4" s="34"/>
      <c r="AD4" s="34"/>
      <c r="AE4" s="34"/>
    </row>
    <row r="5" spans="1:31" s="24" customFormat="1" ht="11.25" customHeight="1">
      <c r="A5" s="551"/>
      <c r="B5" s="437"/>
      <c r="C5" s="504">
        <f>D5-1</f>
        <v>1999</v>
      </c>
      <c r="D5" s="504">
        <f>+YEAR('Project Assumptions'!$G$16)</f>
        <v>2000</v>
      </c>
      <c r="E5" s="504">
        <f t="shared" ref="E5:AB5" si="0">D5+1</f>
        <v>2001</v>
      </c>
      <c r="F5" s="504">
        <f t="shared" si="0"/>
        <v>2002</v>
      </c>
      <c r="G5" s="504">
        <f t="shared" si="0"/>
        <v>2003</v>
      </c>
      <c r="H5" s="504">
        <f t="shared" si="0"/>
        <v>2004</v>
      </c>
      <c r="I5" s="504">
        <f t="shared" si="0"/>
        <v>2005</v>
      </c>
      <c r="J5" s="504">
        <f t="shared" si="0"/>
        <v>2006</v>
      </c>
      <c r="K5" s="504">
        <f t="shared" si="0"/>
        <v>2007</v>
      </c>
      <c r="L5" s="504">
        <f t="shared" si="0"/>
        <v>2008</v>
      </c>
      <c r="M5" s="504">
        <f t="shared" si="0"/>
        <v>2009</v>
      </c>
      <c r="N5" s="504">
        <f t="shared" si="0"/>
        <v>2010</v>
      </c>
      <c r="O5" s="504">
        <f t="shared" si="0"/>
        <v>2011</v>
      </c>
      <c r="P5" s="504">
        <f t="shared" si="0"/>
        <v>2012</v>
      </c>
      <c r="Q5" s="504">
        <f t="shared" si="0"/>
        <v>2013</v>
      </c>
      <c r="R5" s="504">
        <f t="shared" si="0"/>
        <v>2014</v>
      </c>
      <c r="S5" s="504">
        <f t="shared" si="0"/>
        <v>2015</v>
      </c>
      <c r="T5" s="504">
        <f t="shared" si="0"/>
        <v>2016</v>
      </c>
      <c r="U5" s="504">
        <f t="shared" si="0"/>
        <v>2017</v>
      </c>
      <c r="V5" s="504">
        <f t="shared" si="0"/>
        <v>2018</v>
      </c>
      <c r="W5" s="504">
        <f t="shared" si="0"/>
        <v>2019</v>
      </c>
      <c r="X5" s="504">
        <f t="shared" si="0"/>
        <v>2020</v>
      </c>
      <c r="Y5" s="504">
        <f t="shared" si="0"/>
        <v>2021</v>
      </c>
      <c r="Z5" s="504">
        <f t="shared" si="0"/>
        <v>2022</v>
      </c>
      <c r="AA5" s="504">
        <f t="shared" si="0"/>
        <v>2023</v>
      </c>
      <c r="AB5" s="505">
        <f t="shared" si="0"/>
        <v>2024</v>
      </c>
      <c r="AC5" s="34"/>
      <c r="AD5" s="34"/>
      <c r="AE5" s="34"/>
    </row>
    <row r="6" spans="1:31" s="24" customFormat="1" ht="11.25" customHeight="1">
      <c r="A6" s="420" t="s">
        <v>257</v>
      </c>
      <c r="B6"/>
      <c r="C6" s="552"/>
      <c r="D6" s="411"/>
      <c r="E6" s="411"/>
      <c r="F6" s="411"/>
      <c r="G6" s="411"/>
      <c r="H6" s="411"/>
      <c r="I6" s="411"/>
      <c r="J6" s="411"/>
      <c r="K6" s="411"/>
      <c r="L6" s="411"/>
      <c r="M6" s="411"/>
      <c r="N6" s="411"/>
      <c r="O6" s="411"/>
      <c r="P6" s="411"/>
      <c r="Q6" s="411"/>
      <c r="R6" s="411"/>
      <c r="S6" s="411"/>
      <c r="T6" s="411"/>
      <c r="U6" s="411"/>
      <c r="V6" s="411"/>
      <c r="W6" s="411"/>
      <c r="X6" s="411"/>
      <c r="Y6" s="411"/>
      <c r="Z6" s="33"/>
      <c r="AA6" s="33"/>
      <c r="AB6" s="414"/>
      <c r="AC6" s="34"/>
      <c r="AD6" s="34"/>
      <c r="AE6" s="34"/>
    </row>
    <row r="7" spans="1:31" s="24" customFormat="1" ht="11.25" customHeight="1">
      <c r="A7" s="420" t="s">
        <v>126</v>
      </c>
      <c r="B7" s="33"/>
      <c r="C7" s="479"/>
      <c r="D7" s="53">
        <f>IF(D4&lt;=ProjectLife+1,'Project Assumptions'!$L$15,0)</f>
        <v>120</v>
      </c>
      <c r="E7" s="53">
        <f>IF(E4&lt;=ProjectLife+1,'Project Assumptions'!$L$15,0)</f>
        <v>120</v>
      </c>
      <c r="F7" s="53">
        <f>IF(F4&lt;=ProjectLife+1,'Project Assumptions'!$L$15,0)</f>
        <v>120</v>
      </c>
      <c r="G7" s="53">
        <f>IF(G4&lt;=ProjectLife+1,'Project Assumptions'!$L$15,0)</f>
        <v>120</v>
      </c>
      <c r="H7" s="53">
        <f>IF(H4&lt;=ProjectLife+1,'Project Assumptions'!$L$15,0)</f>
        <v>120</v>
      </c>
      <c r="I7" s="53">
        <f>IF(I4&lt;=ProjectLife+1,'Project Assumptions'!$L$15,0)</f>
        <v>120</v>
      </c>
      <c r="J7" s="53">
        <f>IF(J4&lt;=ProjectLife+1,'Project Assumptions'!$L$15,0)</f>
        <v>120</v>
      </c>
      <c r="K7" s="53">
        <f>IF(K4&lt;=ProjectLife+1,'Project Assumptions'!$L$15,0)</f>
        <v>120</v>
      </c>
      <c r="L7" s="53">
        <f>IF(L4&lt;=ProjectLife+1,'Project Assumptions'!$L$15,0)</f>
        <v>120</v>
      </c>
      <c r="M7" s="53">
        <f>IF(M4&lt;=ProjectLife+1,'Project Assumptions'!$L$15,0)</f>
        <v>120</v>
      </c>
      <c r="N7" s="53">
        <f>IF(N4&lt;=ProjectLife+1,'Project Assumptions'!$L$15,0)</f>
        <v>120</v>
      </c>
      <c r="O7" s="53">
        <f>IF(O4&lt;=ProjectLife+1,'Project Assumptions'!$L$15,0)</f>
        <v>120</v>
      </c>
      <c r="P7" s="53">
        <f>IF(P4&lt;=ProjectLife+1,'Project Assumptions'!$L$15,0)</f>
        <v>120</v>
      </c>
      <c r="Q7" s="53">
        <f>IF(Q4&lt;=ProjectLife+1,'Project Assumptions'!$L$15,0)</f>
        <v>120</v>
      </c>
      <c r="R7" s="53">
        <f>IF(R4&lt;=ProjectLife+1,'Project Assumptions'!$L$15,0)</f>
        <v>120</v>
      </c>
      <c r="S7" s="53">
        <f>IF(S4&lt;=ProjectLife+1,'Project Assumptions'!$L$15,0)</f>
        <v>120</v>
      </c>
      <c r="T7" s="53">
        <f>IF(T4&lt;=ProjectLife+1,'Project Assumptions'!$L$15,0)</f>
        <v>120</v>
      </c>
      <c r="U7" s="53">
        <f>IF(U4&lt;=ProjectLife+1,'Project Assumptions'!$L$15,0)</f>
        <v>120</v>
      </c>
      <c r="V7" s="53">
        <f>IF(V4&lt;=ProjectLife+1,'Project Assumptions'!$L$15,0)</f>
        <v>120</v>
      </c>
      <c r="W7" s="53">
        <f>IF(W4&lt;=ProjectLife+1,'Project Assumptions'!$L$15,0)</f>
        <v>120</v>
      </c>
      <c r="X7" s="53">
        <f>IF(X4&lt;=ProjectLife+1,'Project Assumptions'!$L$15,0)</f>
        <v>120</v>
      </c>
      <c r="Y7" s="53">
        <f>IF(Y4&lt;=ProjectLife+1,'Project Assumptions'!$L$15,0)</f>
        <v>0</v>
      </c>
      <c r="Z7" s="53">
        <f>IF(Z4&lt;=ProjectLife+1,'Project Assumptions'!$L$15,0)</f>
        <v>0</v>
      </c>
      <c r="AA7" s="53">
        <f>IF(AA4&lt;=ProjectLife+1,'Project Assumptions'!$L$15,0)</f>
        <v>0</v>
      </c>
      <c r="AB7" s="53">
        <f>IF(AB4&lt;=ProjectLife+1,'Project Assumptions'!$L$15,0)</f>
        <v>0</v>
      </c>
      <c r="AC7" s="34"/>
      <c r="AD7" s="34"/>
      <c r="AE7" s="34"/>
    </row>
    <row r="8" spans="1:31" s="24" customFormat="1" ht="11.25" customHeight="1">
      <c r="A8" s="420" t="s">
        <v>127</v>
      </c>
      <c r="B8" s="524"/>
      <c r="C8" s="479"/>
      <c r="D8" s="53">
        <f>D7</f>
        <v>120</v>
      </c>
      <c r="E8" s="53">
        <f>D8+E7</f>
        <v>240</v>
      </c>
      <c r="F8" s="53">
        <f t="shared" ref="F8:AB8" si="1">E8+F7</f>
        <v>360</v>
      </c>
      <c r="G8" s="53">
        <f t="shared" si="1"/>
        <v>480</v>
      </c>
      <c r="H8" s="53">
        <f t="shared" si="1"/>
        <v>600</v>
      </c>
      <c r="I8" s="53">
        <f t="shared" si="1"/>
        <v>720</v>
      </c>
      <c r="J8" s="53">
        <f t="shared" si="1"/>
        <v>840</v>
      </c>
      <c r="K8" s="53">
        <f t="shared" si="1"/>
        <v>960</v>
      </c>
      <c r="L8" s="53">
        <f t="shared" si="1"/>
        <v>1080</v>
      </c>
      <c r="M8" s="53">
        <f t="shared" si="1"/>
        <v>1200</v>
      </c>
      <c r="N8" s="53">
        <f t="shared" si="1"/>
        <v>1320</v>
      </c>
      <c r="O8" s="53">
        <f t="shared" si="1"/>
        <v>1440</v>
      </c>
      <c r="P8" s="53">
        <f t="shared" si="1"/>
        <v>1560</v>
      </c>
      <c r="Q8" s="53">
        <f t="shared" si="1"/>
        <v>1680</v>
      </c>
      <c r="R8" s="53">
        <f t="shared" si="1"/>
        <v>1800</v>
      </c>
      <c r="S8" s="53">
        <f t="shared" si="1"/>
        <v>1920</v>
      </c>
      <c r="T8" s="53">
        <f t="shared" si="1"/>
        <v>2040</v>
      </c>
      <c r="U8" s="53">
        <f t="shared" si="1"/>
        <v>2160</v>
      </c>
      <c r="V8" s="53">
        <f t="shared" si="1"/>
        <v>2280</v>
      </c>
      <c r="W8" s="53">
        <f t="shared" si="1"/>
        <v>2400</v>
      </c>
      <c r="X8" s="53">
        <f t="shared" si="1"/>
        <v>2520</v>
      </c>
      <c r="Y8" s="53">
        <f t="shared" si="1"/>
        <v>2520</v>
      </c>
      <c r="Z8" s="53">
        <f t="shared" si="1"/>
        <v>2520</v>
      </c>
      <c r="AA8" s="53">
        <f t="shared" si="1"/>
        <v>2520</v>
      </c>
      <c r="AB8" s="53">
        <f t="shared" si="1"/>
        <v>2520</v>
      </c>
      <c r="AC8" s="34"/>
      <c r="AD8" s="34"/>
      <c r="AE8" s="34"/>
    </row>
    <row r="9" spans="1:31" s="24" customFormat="1" ht="11.25" customHeight="1">
      <c r="A9" s="420"/>
      <c r="B9" s="524"/>
      <c r="C9" s="479"/>
      <c r="D9" s="53"/>
      <c r="E9" s="53"/>
      <c r="F9" s="53"/>
      <c r="G9" s="53"/>
      <c r="H9" s="53"/>
      <c r="I9" s="53"/>
      <c r="J9" s="53"/>
      <c r="K9" s="53"/>
      <c r="L9" s="53"/>
      <c r="M9" s="53"/>
      <c r="N9" s="53"/>
      <c r="O9" s="53"/>
      <c r="P9" s="53"/>
      <c r="Q9" s="53"/>
      <c r="R9" s="53"/>
      <c r="S9" s="53"/>
      <c r="T9" s="53"/>
      <c r="U9" s="53"/>
      <c r="V9" s="53"/>
      <c r="W9" s="53"/>
      <c r="X9" s="53"/>
      <c r="Y9" s="53"/>
      <c r="Z9" s="53"/>
      <c r="AA9" s="53"/>
      <c r="AB9" s="423"/>
      <c r="AC9" s="34"/>
      <c r="AD9" s="34"/>
      <c r="AE9" s="34"/>
    </row>
    <row r="10" spans="1:31" s="24" customFormat="1" ht="11.25"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414"/>
      <c r="AC10" s="34"/>
      <c r="AD10" s="34"/>
      <c r="AE10" s="34"/>
    </row>
    <row r="11" spans="1:31" s="24" customFormat="1" ht="11.25" customHeight="1">
      <c r="A11" s="420" t="s">
        <v>122</v>
      </c>
      <c r="B11" s="33"/>
      <c r="C11" s="552"/>
      <c r="D11" s="53">
        <f>'Book Income Statement'!D34</f>
        <v>1853.0111999999999</v>
      </c>
      <c r="E11" s="53">
        <f>'Book Income Statement'!E34</f>
        <v>1908.6015359999999</v>
      </c>
      <c r="F11" s="53">
        <f>'Book Income Statement'!F34</f>
        <v>1965.8595820800001</v>
      </c>
      <c r="G11" s="53">
        <f>'Book Income Statement'!G34</f>
        <v>2024.8353695423998</v>
      </c>
      <c r="H11" s="53">
        <f>'Book Income Statement'!H34</f>
        <v>2085.5804306286718</v>
      </c>
      <c r="I11" s="53">
        <f>'Book Income Statement'!I34</f>
        <v>2148.1478435475319</v>
      </c>
      <c r="J11" s="53">
        <f>'Book Income Statement'!J34</f>
        <v>2212.5922788539579</v>
      </c>
      <c r="K11" s="53">
        <f>'Book Income Statement'!K34</f>
        <v>2278.9700472195768</v>
      </c>
      <c r="L11" s="53">
        <f>'Book Income Statement'!L34</f>
        <v>2347.3391486361643</v>
      </c>
      <c r="M11" s="53">
        <f>'Book Income Statement'!M34</f>
        <v>2417.7593230952489</v>
      </c>
      <c r="N11" s="53">
        <f>'Book Income Statement'!N34</f>
        <v>2490.2921027881066</v>
      </c>
      <c r="O11" s="53">
        <f>'Book Income Statement'!O34</f>
        <v>2565.0008658717493</v>
      </c>
      <c r="P11" s="53">
        <f>'Book Income Statement'!P34</f>
        <v>2641.9508918479014</v>
      </c>
      <c r="Q11" s="53">
        <f>'Book Income Statement'!Q34</f>
        <v>2721.2094186033387</v>
      </c>
      <c r="R11" s="53">
        <f>'Book Income Statement'!R34</f>
        <v>2802.8457011614391</v>
      </c>
      <c r="S11" s="53">
        <f>'Book Income Statement'!S34</f>
        <v>2886.931072196282</v>
      </c>
      <c r="T11" s="53">
        <f>'Book Income Statement'!T34</f>
        <v>2973.5390043621705</v>
      </c>
      <c r="U11" s="53">
        <f>'Book Income Statement'!U34</f>
        <v>3062.7451744930354</v>
      </c>
      <c r="V11" s="53">
        <f>'Book Income Statement'!V34</f>
        <v>3154.6275297278262</v>
      </c>
      <c r="W11" s="53">
        <f>'Book Income Statement'!W34</f>
        <v>3249.2663556196612</v>
      </c>
      <c r="X11" s="53">
        <f>'Book Income Statement'!X34</f>
        <v>3346.7443462882507</v>
      </c>
      <c r="Y11" s="53">
        <f>'Book Income Statement'!Y34</f>
        <v>0</v>
      </c>
      <c r="Z11" s="53">
        <f>'Book Income Statement'!Z34</f>
        <v>0</v>
      </c>
      <c r="AA11" s="53">
        <f>'Book Income Statement'!AA34</f>
        <v>0</v>
      </c>
      <c r="AB11" s="423">
        <f>'Book Income Statement'!AB34</f>
        <v>0</v>
      </c>
      <c r="AC11" s="34"/>
      <c r="AD11" s="34"/>
      <c r="AE11" s="34"/>
    </row>
    <row r="12" spans="1:31" s="24" customFormat="1" ht="11.25" customHeight="1">
      <c r="A12" s="1035" t="s">
        <v>673</v>
      </c>
      <c r="B12" s="33"/>
      <c r="C12" s="552"/>
      <c r="D12" s="53">
        <v>0</v>
      </c>
      <c r="E12" s="53">
        <v>0</v>
      </c>
      <c r="F12" s="53">
        <v>0</v>
      </c>
      <c r="G12" s="53">
        <f>237.48235891*8</f>
        <v>1899.8588712799999</v>
      </c>
      <c r="H12" s="53">
        <v>0</v>
      </c>
      <c r="I12" s="53">
        <v>0</v>
      </c>
      <c r="J12" s="53">
        <f>259.503385604648*8</f>
        <v>2076.0270848371838</v>
      </c>
      <c r="K12" s="53">
        <v>0</v>
      </c>
      <c r="L12" s="53">
        <v>0</v>
      </c>
      <c r="M12" s="53">
        <f>1520.17618140425*8</f>
        <v>12161.409451234</v>
      </c>
      <c r="N12" s="53">
        <v>0</v>
      </c>
      <c r="O12" s="53">
        <v>0</v>
      </c>
      <c r="P12" s="53">
        <v>0</v>
      </c>
      <c r="Q12" s="53">
        <f>319.156431944428*8</f>
        <v>2553.2514555554239</v>
      </c>
      <c r="R12" s="53">
        <v>0</v>
      </c>
      <c r="S12" s="53">
        <v>0</v>
      </c>
      <c r="T12" s="53">
        <f>2231.34430356686*8</f>
        <v>17850.754428534881</v>
      </c>
      <c r="U12" s="53">
        <v>0</v>
      </c>
      <c r="V12" s="53">
        <v>0</v>
      </c>
      <c r="W12" s="53">
        <f>3707.26239365785*8</f>
        <v>29658.099149262802</v>
      </c>
      <c r="X12" s="53"/>
      <c r="Y12" s="53"/>
      <c r="Z12" s="53"/>
      <c r="AA12" s="53"/>
      <c r="AB12" s="423"/>
      <c r="AC12" s="34"/>
      <c r="AD12" s="34"/>
      <c r="AE12" s="34"/>
    </row>
    <row r="13" spans="1:31" s="24" customFormat="1" ht="11.25" customHeight="1">
      <c r="A13" s="420" t="s">
        <v>125</v>
      </c>
      <c r="B13" s="33"/>
      <c r="C13" s="552"/>
      <c r="D13" s="53">
        <f>D11</f>
        <v>1853.0111999999999</v>
      </c>
      <c r="E13" s="53">
        <f>D13+E11-E12</f>
        <v>3761.612736</v>
      </c>
      <c r="F13" s="53">
        <f t="shared" ref="F13:AB13" si="2">E13+F11-F12</f>
        <v>5727.4723180800002</v>
      </c>
      <c r="G13" s="53">
        <f t="shared" si="2"/>
        <v>5852.4488163424003</v>
      </c>
      <c r="H13" s="53">
        <f t="shared" si="2"/>
        <v>7938.0292469710721</v>
      </c>
      <c r="I13" s="53">
        <f t="shared" si="2"/>
        <v>10086.177090518604</v>
      </c>
      <c r="J13" s="53">
        <f t="shared" si="2"/>
        <v>10222.742284535378</v>
      </c>
      <c r="K13" s="53">
        <f t="shared" si="2"/>
        <v>12501.712331754954</v>
      </c>
      <c r="L13" s="53">
        <f t="shared" si="2"/>
        <v>14849.051480391117</v>
      </c>
      <c r="M13" s="53">
        <f t="shared" si="2"/>
        <v>5105.4013522523655</v>
      </c>
      <c r="N13" s="53">
        <f t="shared" si="2"/>
        <v>7595.6934550404721</v>
      </c>
      <c r="O13" s="53">
        <f t="shared" si="2"/>
        <v>10160.694320912222</v>
      </c>
      <c r="P13" s="53">
        <f t="shared" si="2"/>
        <v>12802.645212760122</v>
      </c>
      <c r="Q13" s="53">
        <f t="shared" si="2"/>
        <v>12970.603175808037</v>
      </c>
      <c r="R13" s="53">
        <f t="shared" si="2"/>
        <v>15773.448876969476</v>
      </c>
      <c r="S13" s="53">
        <f t="shared" si="2"/>
        <v>18660.379949165759</v>
      </c>
      <c r="T13" s="53">
        <f t="shared" si="2"/>
        <v>3783.164524993048</v>
      </c>
      <c r="U13" s="53">
        <f t="shared" si="2"/>
        <v>6845.9096994860829</v>
      </c>
      <c r="V13" s="53">
        <f t="shared" si="2"/>
        <v>10000.537229213909</v>
      </c>
      <c r="W13" s="53">
        <f t="shared" si="2"/>
        <v>-16408.295564429231</v>
      </c>
      <c r="X13" s="53">
        <f t="shared" si="2"/>
        <v>-13061.551218140979</v>
      </c>
      <c r="Y13" s="53">
        <f t="shared" si="2"/>
        <v>-13061.551218140979</v>
      </c>
      <c r="Z13" s="53">
        <f t="shared" si="2"/>
        <v>-13061.551218140979</v>
      </c>
      <c r="AA13" s="53">
        <f t="shared" si="2"/>
        <v>-13061.551218140979</v>
      </c>
      <c r="AB13" s="423">
        <f t="shared" si="2"/>
        <v>-13061.551218140979</v>
      </c>
      <c r="AC13" s="34"/>
      <c r="AD13" s="34"/>
      <c r="AE13" s="34"/>
    </row>
    <row r="14" spans="1:31" s="24" customFormat="1" ht="11.25">
      <c r="A14" s="452" t="s">
        <v>124</v>
      </c>
      <c r="B14" s="409"/>
      <c r="C14" s="409"/>
      <c r="D14" s="553">
        <f>D13*'Project Assumptions'!$U$16</f>
        <v>24.998888747630662</v>
      </c>
      <c r="E14" s="553">
        <f>E13*'Project Assumptions'!$U$16</f>
        <v>50.747744157690249</v>
      </c>
      <c r="F14" s="553">
        <f>F13*'Project Assumptions'!$U$16</f>
        <v>77.269065230051623</v>
      </c>
      <c r="G14" s="553">
        <f>G13*'Project Assumptions'!$U$16</f>
        <v>78.955117411565794</v>
      </c>
      <c r="H14" s="553">
        <f>H13*'Project Assumptions'!$U$16</f>
        <v>107.09158693723397</v>
      </c>
      <c r="I14" s="553">
        <f>I13*'Project Assumptions'!$U$16</f>
        <v>136.0721505486722</v>
      </c>
      <c r="J14" s="553">
        <f>J13*'Project Assumptions'!$U$16</f>
        <v>137.91454529082159</v>
      </c>
      <c r="K14" s="553">
        <f>K13*'Project Assumptions'!$U$16</f>
        <v>168.66002522619638</v>
      </c>
      <c r="L14" s="553">
        <f>L13*'Project Assumptions'!$U$16</f>
        <v>200.32786955963243</v>
      </c>
      <c r="M14" s="553">
        <f>M13*'Project Assumptions'!$U$16</f>
        <v>68.876734483288629</v>
      </c>
      <c r="N14" s="553">
        <f>N13*'Project Assumptions'!$U$16</f>
        <v>102.47315053663094</v>
      </c>
      <c r="O14" s="553">
        <f>O13*'Project Assumptions'!$U$16</f>
        <v>137.07745907157351</v>
      </c>
      <c r="P14" s="553">
        <f>P13*'Project Assumptions'!$U$16</f>
        <v>172.71989686256435</v>
      </c>
      <c r="Q14" s="553">
        <f>Q13*'Project Assumptions'!$U$16</f>
        <v>174.9858100057302</v>
      </c>
      <c r="R14" s="553">
        <f>R13*'Project Assumptions'!$U$16</f>
        <v>212.7988722581924</v>
      </c>
      <c r="S14" s="553">
        <f>S13*'Project Assumptions'!$U$16</f>
        <v>251.74632637822847</v>
      </c>
      <c r="T14" s="553">
        <f>T13*'Project Assumptions'!$U$16</f>
        <v>51.038498350298269</v>
      </c>
      <c r="U14" s="553">
        <f>U13*'Project Assumptions'!$U$16</f>
        <v>92.35785242624452</v>
      </c>
      <c r="V14" s="553">
        <f>V13*'Project Assumptions'!$U$16</f>
        <v>134.91678712446915</v>
      </c>
      <c r="W14" s="553">
        <f>W13*'Project Assumptions'!$U$16</f>
        <v>-221.36355967703165</v>
      </c>
      <c r="X14" s="553">
        <f>X13*'Project Assumptions'!$U$16</f>
        <v>-176.21278585568513</v>
      </c>
      <c r="Y14" s="553">
        <f>Y13*'Project Assumptions'!$U$16</f>
        <v>-176.21278585568513</v>
      </c>
      <c r="Z14" s="553">
        <f>Z13*'Project Assumptions'!$U$16</f>
        <v>-176.21278585568513</v>
      </c>
      <c r="AA14" s="553">
        <f>AA13*'Project Assumptions'!$U$16</f>
        <v>-176.21278585568513</v>
      </c>
      <c r="AB14" s="554">
        <f>AB13*'Project Assumptions'!$U$16</f>
        <v>-176.21278585568513</v>
      </c>
      <c r="AC14" s="34"/>
      <c r="AD14" s="34"/>
      <c r="AE14" s="34"/>
    </row>
    <row r="15" spans="1:31" s="24" customFormat="1" ht="11.25" hidden="1">
      <c r="A15" s="34" t="s">
        <v>123</v>
      </c>
      <c r="B15" s="34"/>
      <c r="C15" s="34"/>
      <c r="D15" s="555">
        <f>D14</f>
        <v>24.998888747630662</v>
      </c>
      <c r="E15" s="555">
        <f t="shared" ref="E15:AB15" si="3">D15+E14</f>
        <v>75.746632905320908</v>
      </c>
      <c r="F15" s="555">
        <f t="shared" si="3"/>
        <v>153.01569813537253</v>
      </c>
      <c r="G15" s="555">
        <f t="shared" si="3"/>
        <v>231.97081554693833</v>
      </c>
      <c r="H15" s="555">
        <f t="shared" si="3"/>
        <v>339.06240248417231</v>
      </c>
      <c r="I15" s="555">
        <f t="shared" si="3"/>
        <v>475.13455303284451</v>
      </c>
      <c r="J15" s="555">
        <f t="shared" si="3"/>
        <v>613.04909832366616</v>
      </c>
      <c r="K15" s="555">
        <f t="shared" si="3"/>
        <v>781.70912354986251</v>
      </c>
      <c r="L15" s="555">
        <f t="shared" si="3"/>
        <v>982.03699310949492</v>
      </c>
      <c r="M15" s="555">
        <f t="shared" si="3"/>
        <v>1050.9137275927835</v>
      </c>
      <c r="N15" s="555">
        <f t="shared" si="3"/>
        <v>1153.3868781294145</v>
      </c>
      <c r="O15" s="555">
        <f t="shared" si="3"/>
        <v>1290.464337200988</v>
      </c>
      <c r="P15" s="555">
        <f t="shared" si="3"/>
        <v>1463.1842340635524</v>
      </c>
      <c r="Q15" s="555">
        <f t="shared" si="3"/>
        <v>1638.1700440692825</v>
      </c>
      <c r="R15" s="555">
        <f t="shared" si="3"/>
        <v>1850.968916327475</v>
      </c>
      <c r="S15" s="555">
        <f t="shared" si="3"/>
        <v>2102.7152427057035</v>
      </c>
      <c r="T15" s="555">
        <f t="shared" si="3"/>
        <v>2153.7537410560017</v>
      </c>
      <c r="U15" s="555">
        <f t="shared" si="3"/>
        <v>2246.111593482246</v>
      </c>
      <c r="V15" s="555">
        <f t="shared" si="3"/>
        <v>2381.028380606715</v>
      </c>
      <c r="W15" s="555">
        <f t="shared" si="3"/>
        <v>2159.6648209296832</v>
      </c>
      <c r="X15" s="555">
        <f t="shared" si="3"/>
        <v>1983.4520350739981</v>
      </c>
      <c r="Y15" s="555">
        <f t="shared" si="3"/>
        <v>1807.239249218313</v>
      </c>
      <c r="Z15" s="555">
        <f t="shared" si="3"/>
        <v>1631.026463362628</v>
      </c>
      <c r="AA15" s="555">
        <f t="shared" si="3"/>
        <v>1454.8136775069429</v>
      </c>
      <c r="AB15" s="555">
        <f t="shared" si="3"/>
        <v>1278.6008916512578</v>
      </c>
      <c r="AC15" s="34"/>
      <c r="AD15" s="34"/>
      <c r="AE15" s="34"/>
    </row>
    <row r="16" spans="1:31" s="24" customFormat="1" ht="11.25">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row>
    <row r="17" spans="1:31" s="24" customFormat="1" ht="11.25">
      <c r="A17" s="34"/>
      <c r="B17" s="34"/>
      <c r="C17" s="34"/>
      <c r="D17" s="483"/>
      <c r="E17" s="556"/>
      <c r="F17" s="556"/>
      <c r="G17" s="556"/>
      <c r="H17" s="556"/>
      <c r="I17" s="556"/>
      <c r="J17" s="556"/>
      <c r="K17" s="556"/>
      <c r="L17" s="34"/>
      <c r="M17" s="34"/>
      <c r="N17" s="34"/>
      <c r="O17" s="34"/>
      <c r="P17" s="34"/>
      <c r="Q17" s="34"/>
      <c r="R17" s="34"/>
      <c r="S17" s="34"/>
      <c r="T17" s="34"/>
      <c r="U17" s="34"/>
      <c r="V17" s="34"/>
      <c r="W17" s="34"/>
      <c r="X17" s="34"/>
      <c r="Y17" s="34"/>
      <c r="Z17" s="34"/>
      <c r="AA17" s="34"/>
      <c r="AB17" s="34"/>
      <c r="AC17" s="34"/>
      <c r="AD17" s="34"/>
      <c r="AE17" s="34"/>
    </row>
    <row r="18" spans="1:31" s="24" customFormat="1">
      <c r="A18" t="s">
        <v>524</v>
      </c>
      <c r="B18"/>
      <c r="C18" s="903">
        <v>6.5000000000000002E-2</v>
      </c>
      <c r="D18"/>
      <c r="E18"/>
      <c r="F18" s="34"/>
      <c r="G18" s="556"/>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spans="1:31" s="24" customFormat="1" ht="38.25">
      <c r="A19" s="904" t="s">
        <v>525</v>
      </c>
      <c r="B19" s="905">
        <v>0</v>
      </c>
      <c r="C19"/>
      <c r="D19"/>
      <c r="E19" s="904" t="s">
        <v>532</v>
      </c>
      <c r="F19" s="912" t="s">
        <v>528</v>
      </c>
      <c r="G19" s="913" t="s">
        <v>453</v>
      </c>
      <c r="H19" s="912" t="s">
        <v>529</v>
      </c>
      <c r="I19" s="913" t="s">
        <v>530</v>
      </c>
      <c r="J19" s="914" t="s">
        <v>531</v>
      </c>
      <c r="K19" s="34"/>
      <c r="L19" s="34"/>
      <c r="M19" s="34"/>
      <c r="N19" s="34"/>
      <c r="O19" s="34"/>
      <c r="P19" s="34"/>
      <c r="Q19" s="34"/>
      <c r="R19" s="34"/>
      <c r="S19" s="34"/>
      <c r="T19" s="34"/>
      <c r="U19" s="34"/>
      <c r="V19" s="34"/>
      <c r="W19" s="34"/>
      <c r="X19" s="34"/>
      <c r="Y19" s="34"/>
      <c r="Z19" s="34"/>
      <c r="AA19" s="34"/>
      <c r="AB19" s="34"/>
      <c r="AC19" s="34"/>
      <c r="AD19" s="34"/>
      <c r="AE19" s="34"/>
    </row>
    <row r="20" spans="1:31" s="24" customFormat="1">
      <c r="A20" s="906" t="s">
        <v>526</v>
      </c>
      <c r="B20" s="907">
        <v>2.5</v>
      </c>
      <c r="C20"/>
      <c r="D20"/>
      <c r="E20" s="915"/>
      <c r="F20" s="916"/>
      <c r="G20" s="916"/>
      <c r="H20" s="916"/>
      <c r="I20" s="916"/>
      <c r="J20" s="909"/>
      <c r="K20" s="34"/>
      <c r="L20" s="34"/>
      <c r="M20" s="34"/>
      <c r="N20" s="34"/>
      <c r="O20" s="34"/>
      <c r="P20" s="34"/>
      <c r="Q20" s="34"/>
      <c r="R20" s="34"/>
      <c r="S20" s="34"/>
      <c r="T20" s="34"/>
      <c r="U20" s="34"/>
      <c r="V20" s="34"/>
      <c r="W20" s="34"/>
      <c r="X20" s="34"/>
      <c r="Y20" s="34"/>
      <c r="Z20" s="34"/>
      <c r="AA20" s="34"/>
      <c r="AB20" s="34"/>
      <c r="AC20" s="34"/>
      <c r="AD20" s="34"/>
      <c r="AE20" s="34"/>
    </row>
    <row r="21" spans="1:31" s="24" customFormat="1">
      <c r="A21" s="906" t="s">
        <v>527</v>
      </c>
      <c r="B21" s="907">
        <f>'Project Assumptions'!N60</f>
        <v>0</v>
      </c>
      <c r="C21"/>
      <c r="D21"/>
      <c r="E21" s="915">
        <v>20</v>
      </c>
      <c r="F21" s="917">
        <f>8*457</f>
        <v>3656</v>
      </c>
      <c r="G21" s="917">
        <f>$B$21*$B$23*($B$20*(1+$B$19))</f>
        <v>0</v>
      </c>
      <c r="H21" s="917">
        <f>G21+F21</f>
        <v>3656</v>
      </c>
      <c r="I21" s="918">
        <f>G21/H21</f>
        <v>0</v>
      </c>
      <c r="J21" s="919">
        <f>1-I21</f>
        <v>1</v>
      </c>
      <c r="K21" s="34"/>
      <c r="L21" s="34"/>
      <c r="M21" s="34"/>
      <c r="N21" s="34"/>
      <c r="O21" s="34"/>
      <c r="P21" s="34"/>
      <c r="Q21" s="34"/>
      <c r="R21" s="34"/>
      <c r="S21" s="34"/>
      <c r="T21" s="34"/>
      <c r="U21" s="34"/>
      <c r="V21" s="34"/>
      <c r="W21" s="34"/>
      <c r="X21" s="34"/>
      <c r="Y21" s="34"/>
      <c r="Z21" s="34"/>
      <c r="AA21" s="34"/>
      <c r="AB21" s="34"/>
      <c r="AC21" s="34"/>
      <c r="AD21" s="34"/>
      <c r="AE21" s="34"/>
    </row>
    <row r="22" spans="1:31" s="24" customFormat="1">
      <c r="A22" s="908"/>
      <c r="B22" s="909"/>
      <c r="C22"/>
      <c r="D22"/>
      <c r="E22" s="915">
        <v>30</v>
      </c>
      <c r="F22" s="917">
        <f>8*457</f>
        <v>3656</v>
      </c>
      <c r="G22" s="917">
        <f t="shared" ref="G22:G44" si="4">$B$21*$B$23*($B$20*(1+$B$19))</f>
        <v>0</v>
      </c>
      <c r="H22" s="917">
        <f t="shared" ref="H22:H44" si="5">G22+F22</f>
        <v>3656</v>
      </c>
      <c r="I22" s="918">
        <f t="shared" ref="I22:I44" si="6">G22/H22</f>
        <v>0</v>
      </c>
      <c r="J22" s="919">
        <f t="shared" ref="J22:J44" si="7">1-I22</f>
        <v>1</v>
      </c>
      <c r="K22" s="34"/>
      <c r="L22" s="34"/>
      <c r="M22" s="34"/>
      <c r="N22" s="34"/>
      <c r="O22" s="34"/>
      <c r="P22" s="34"/>
      <c r="Q22" s="34"/>
      <c r="R22" s="34"/>
      <c r="S22" s="34"/>
      <c r="T22" s="34"/>
      <c r="U22" s="34"/>
      <c r="V22" s="34"/>
      <c r="W22" s="34"/>
      <c r="X22" s="34"/>
      <c r="Y22" s="34"/>
      <c r="Z22" s="34"/>
      <c r="AA22" s="34"/>
      <c r="AB22" s="34"/>
      <c r="AC22" s="34"/>
      <c r="AD22" s="34"/>
      <c r="AE22" s="34"/>
    </row>
    <row r="23" spans="1:31" s="24" customFormat="1">
      <c r="A23" s="910" t="s">
        <v>372</v>
      </c>
      <c r="B23" s="911">
        <v>8</v>
      </c>
      <c r="C23"/>
      <c r="D23"/>
      <c r="E23" s="915">
        <v>40</v>
      </c>
      <c r="F23" s="917">
        <f>8*457</f>
        <v>3656</v>
      </c>
      <c r="G23" s="917">
        <f t="shared" si="4"/>
        <v>0</v>
      </c>
      <c r="H23" s="917">
        <f t="shared" si="5"/>
        <v>3656</v>
      </c>
      <c r="I23" s="918">
        <f t="shared" si="6"/>
        <v>0</v>
      </c>
      <c r="J23" s="919">
        <f t="shared" si="7"/>
        <v>1</v>
      </c>
      <c r="K23" s="34"/>
      <c r="L23" s="34"/>
      <c r="M23" s="34"/>
      <c r="N23" s="34"/>
      <c r="O23" s="34"/>
      <c r="P23" s="34"/>
      <c r="Q23" s="34"/>
      <c r="R23" s="34"/>
      <c r="S23" s="34"/>
      <c r="T23" s="34"/>
      <c r="U23" s="34"/>
      <c r="V23" s="34"/>
      <c r="W23" s="34"/>
      <c r="X23" s="34"/>
      <c r="Y23" s="34"/>
      <c r="Z23" s="34"/>
      <c r="AA23" s="34"/>
      <c r="AB23" s="34"/>
      <c r="AC23" s="34"/>
      <c r="AD23" s="34"/>
      <c r="AE23" s="34"/>
    </row>
    <row r="24" spans="1:31" s="24" customFormat="1">
      <c r="A24"/>
      <c r="B24"/>
      <c r="C24"/>
      <c r="D24"/>
      <c r="E24" s="915">
        <v>50</v>
      </c>
      <c r="F24" s="917">
        <f>8*457</f>
        <v>3656</v>
      </c>
      <c r="G24" s="917">
        <f t="shared" si="4"/>
        <v>0</v>
      </c>
      <c r="H24" s="917">
        <f t="shared" si="5"/>
        <v>3656</v>
      </c>
      <c r="I24" s="918">
        <f t="shared" si="6"/>
        <v>0</v>
      </c>
      <c r="J24" s="919">
        <f t="shared" si="7"/>
        <v>1</v>
      </c>
      <c r="K24" s="34"/>
      <c r="L24" s="34"/>
      <c r="M24" s="34"/>
      <c r="N24" s="34"/>
      <c r="O24" s="34"/>
      <c r="P24" s="34"/>
      <c r="Q24" s="34"/>
      <c r="R24" s="34"/>
      <c r="S24" s="34"/>
      <c r="T24" s="34"/>
      <c r="U24" s="34"/>
      <c r="V24" s="34"/>
      <c r="W24" s="34"/>
      <c r="X24" s="34"/>
      <c r="Y24" s="34"/>
      <c r="Z24" s="34"/>
      <c r="AA24" s="34"/>
      <c r="AB24" s="34"/>
      <c r="AC24" s="34"/>
      <c r="AD24" s="34"/>
      <c r="AE24" s="34"/>
    </row>
    <row r="25" spans="1:31" s="24" customFormat="1">
      <c r="A25"/>
      <c r="B25"/>
      <c r="C25"/>
      <c r="D25"/>
      <c r="E25" s="915">
        <v>60</v>
      </c>
      <c r="F25" s="917">
        <f t="shared" ref="F25:F30" si="8">8*1243</f>
        <v>9944</v>
      </c>
      <c r="G25" s="917">
        <f t="shared" si="4"/>
        <v>0</v>
      </c>
      <c r="H25" s="917">
        <f t="shared" si="5"/>
        <v>9944</v>
      </c>
      <c r="I25" s="918">
        <f t="shared" si="6"/>
        <v>0</v>
      </c>
      <c r="J25" s="919">
        <f t="shared" si="7"/>
        <v>1</v>
      </c>
      <c r="K25" s="34"/>
      <c r="L25" s="34"/>
      <c r="M25" s="34"/>
      <c r="N25" s="34"/>
      <c r="O25" s="34"/>
      <c r="P25" s="34"/>
      <c r="Q25" s="34"/>
      <c r="R25" s="34"/>
      <c r="S25" s="34"/>
      <c r="T25" s="34"/>
      <c r="U25" s="34"/>
      <c r="V25" s="34"/>
      <c r="W25" s="34"/>
      <c r="X25" s="34"/>
      <c r="Y25" s="34"/>
      <c r="Z25" s="34"/>
      <c r="AA25" s="34"/>
      <c r="AB25" s="34"/>
      <c r="AC25" s="34"/>
      <c r="AD25" s="34"/>
      <c r="AE25" s="34"/>
    </row>
    <row r="26" spans="1:31" s="24" customFormat="1">
      <c r="E26" s="915">
        <v>70</v>
      </c>
      <c r="F26" s="917">
        <f t="shared" si="8"/>
        <v>9944</v>
      </c>
      <c r="G26" s="917">
        <f t="shared" si="4"/>
        <v>0</v>
      </c>
      <c r="H26" s="917">
        <f t="shared" si="5"/>
        <v>9944</v>
      </c>
      <c r="I26" s="918">
        <f t="shared" si="6"/>
        <v>0</v>
      </c>
      <c r="J26" s="919">
        <f t="shared" si="7"/>
        <v>1</v>
      </c>
      <c r="K26" s="34"/>
      <c r="L26" s="34"/>
      <c r="M26" s="34"/>
      <c r="N26" s="34"/>
      <c r="O26" s="34"/>
      <c r="P26" s="34"/>
      <c r="Q26" s="34"/>
      <c r="R26" s="34"/>
      <c r="S26" s="34"/>
      <c r="T26" s="34"/>
      <c r="U26" s="34"/>
      <c r="V26" s="34"/>
      <c r="W26" s="34"/>
      <c r="X26" s="34"/>
      <c r="Y26" s="34"/>
      <c r="Z26" s="34"/>
      <c r="AA26" s="34"/>
      <c r="AB26" s="34"/>
      <c r="AC26" s="34"/>
      <c r="AD26" s="34"/>
      <c r="AE26" s="34"/>
    </row>
    <row r="27" spans="1:31" s="24" customFormat="1">
      <c r="E27" s="915">
        <v>80</v>
      </c>
      <c r="F27" s="917">
        <f t="shared" si="8"/>
        <v>9944</v>
      </c>
      <c r="G27" s="917">
        <f t="shared" si="4"/>
        <v>0</v>
      </c>
      <c r="H27" s="917">
        <f t="shared" si="5"/>
        <v>9944</v>
      </c>
      <c r="I27" s="918">
        <f t="shared" si="6"/>
        <v>0</v>
      </c>
      <c r="J27" s="919">
        <f t="shared" si="7"/>
        <v>1</v>
      </c>
      <c r="K27" s="34"/>
      <c r="L27" s="34"/>
      <c r="M27" s="34"/>
      <c r="N27" s="34"/>
      <c r="O27" s="34"/>
      <c r="P27" s="34"/>
      <c r="Q27" s="34"/>
      <c r="R27" s="34"/>
      <c r="S27" s="34"/>
      <c r="T27" s="34"/>
      <c r="U27" s="34"/>
      <c r="V27" s="34"/>
      <c r="W27" s="34"/>
      <c r="X27" s="34"/>
      <c r="Y27" s="34"/>
      <c r="Z27" s="34"/>
      <c r="AA27" s="34"/>
      <c r="AB27" s="34"/>
      <c r="AC27" s="34"/>
      <c r="AD27" s="34"/>
      <c r="AE27" s="34"/>
    </row>
    <row r="28" spans="1:31" s="24" customFormat="1">
      <c r="E28" s="915">
        <v>90</v>
      </c>
      <c r="F28" s="917">
        <f t="shared" si="8"/>
        <v>9944</v>
      </c>
      <c r="G28" s="917">
        <f t="shared" si="4"/>
        <v>0</v>
      </c>
      <c r="H28" s="917">
        <f t="shared" si="5"/>
        <v>9944</v>
      </c>
      <c r="I28" s="918">
        <f t="shared" si="6"/>
        <v>0</v>
      </c>
      <c r="J28" s="919">
        <f t="shared" si="7"/>
        <v>1</v>
      </c>
      <c r="K28" s="34"/>
      <c r="L28" s="34"/>
      <c r="M28" s="34"/>
      <c r="N28" s="34"/>
      <c r="O28" s="34"/>
      <c r="P28" s="34"/>
      <c r="Q28" s="34"/>
      <c r="R28" s="34"/>
      <c r="S28" s="34"/>
      <c r="T28" s="34"/>
      <c r="U28" s="34"/>
      <c r="V28" s="34"/>
      <c r="W28" s="34"/>
      <c r="X28" s="34"/>
      <c r="Y28" s="34"/>
      <c r="Z28" s="34"/>
      <c r="AA28" s="34"/>
      <c r="AB28" s="34"/>
      <c r="AC28" s="34"/>
      <c r="AD28" s="34"/>
      <c r="AE28" s="34"/>
    </row>
    <row r="29" spans="1:31" s="24" customFormat="1">
      <c r="E29" s="915">
        <v>100</v>
      </c>
      <c r="F29" s="917">
        <f t="shared" si="8"/>
        <v>9944</v>
      </c>
      <c r="G29" s="917">
        <f t="shared" si="4"/>
        <v>0</v>
      </c>
      <c r="H29" s="917">
        <f t="shared" si="5"/>
        <v>9944</v>
      </c>
      <c r="I29" s="918">
        <f t="shared" si="6"/>
        <v>0</v>
      </c>
      <c r="J29" s="919">
        <f t="shared" si="7"/>
        <v>1</v>
      </c>
      <c r="K29" s="34"/>
      <c r="L29" s="34"/>
      <c r="M29" s="34"/>
      <c r="N29" s="34"/>
      <c r="O29" s="34"/>
      <c r="P29" s="34"/>
      <c r="Q29" s="34"/>
      <c r="R29" s="34"/>
      <c r="S29" s="34"/>
      <c r="T29" s="34"/>
      <c r="U29" s="34"/>
      <c r="V29" s="34"/>
      <c r="W29" s="34"/>
      <c r="X29" s="34"/>
      <c r="Y29" s="34"/>
      <c r="Z29" s="34"/>
      <c r="AA29" s="34"/>
      <c r="AB29" s="34"/>
      <c r="AC29" s="34"/>
      <c r="AD29" s="34"/>
      <c r="AE29" s="34"/>
    </row>
    <row r="30" spans="1:31" s="24" customFormat="1">
      <c r="E30" s="915">
        <v>110</v>
      </c>
      <c r="F30" s="917">
        <f t="shared" si="8"/>
        <v>9944</v>
      </c>
      <c r="G30" s="917">
        <f t="shared" si="4"/>
        <v>0</v>
      </c>
      <c r="H30" s="917">
        <f t="shared" si="5"/>
        <v>9944</v>
      </c>
      <c r="I30" s="918">
        <f t="shared" si="6"/>
        <v>0</v>
      </c>
      <c r="J30" s="919">
        <f t="shared" si="7"/>
        <v>1</v>
      </c>
      <c r="K30" s="34"/>
      <c r="L30" s="34"/>
      <c r="M30" s="34"/>
      <c r="N30" s="34"/>
      <c r="O30" s="34"/>
      <c r="P30" s="34"/>
      <c r="Q30" s="34"/>
      <c r="R30" s="34"/>
      <c r="S30" s="34"/>
      <c r="T30" s="34"/>
      <c r="U30" s="34"/>
      <c r="V30" s="34"/>
      <c r="W30" s="34"/>
      <c r="X30" s="34"/>
      <c r="Y30" s="34"/>
      <c r="Z30" s="34"/>
      <c r="AA30" s="34"/>
      <c r="AB30" s="34"/>
      <c r="AC30" s="34"/>
      <c r="AD30" s="34"/>
      <c r="AE30" s="34"/>
    </row>
    <row r="31" spans="1:31" s="24" customFormat="1">
      <c r="E31" s="915">
        <v>120</v>
      </c>
      <c r="F31" s="917">
        <f t="shared" ref="F31:F36" si="9">8*1874</f>
        <v>14992</v>
      </c>
      <c r="G31" s="917">
        <f t="shared" si="4"/>
        <v>0</v>
      </c>
      <c r="H31" s="917">
        <f t="shared" si="5"/>
        <v>14992</v>
      </c>
      <c r="I31" s="918">
        <f t="shared" si="6"/>
        <v>0</v>
      </c>
      <c r="J31" s="919">
        <f t="shared" si="7"/>
        <v>1</v>
      </c>
      <c r="K31" s="34"/>
      <c r="L31" s="34"/>
      <c r="M31" s="34"/>
      <c r="N31" s="34"/>
      <c r="O31" s="34"/>
      <c r="P31" s="34"/>
      <c r="Q31" s="34"/>
      <c r="R31" s="34"/>
      <c r="S31" s="34"/>
      <c r="T31" s="34"/>
      <c r="U31" s="34"/>
      <c r="V31" s="34"/>
      <c r="W31" s="34"/>
      <c r="X31" s="34"/>
      <c r="Y31" s="34"/>
      <c r="Z31" s="34"/>
      <c r="AA31" s="34"/>
      <c r="AB31" s="34"/>
      <c r="AC31" s="34"/>
      <c r="AD31" s="34"/>
      <c r="AE31" s="34"/>
    </row>
    <row r="32" spans="1:31" s="24" customFormat="1">
      <c r="E32" s="915">
        <v>130</v>
      </c>
      <c r="F32" s="917">
        <f t="shared" si="9"/>
        <v>14992</v>
      </c>
      <c r="G32" s="917">
        <f t="shared" si="4"/>
        <v>0</v>
      </c>
      <c r="H32" s="917">
        <f t="shared" si="5"/>
        <v>14992</v>
      </c>
      <c r="I32" s="918">
        <f t="shared" si="6"/>
        <v>0</v>
      </c>
      <c r="J32" s="919">
        <f t="shared" si="7"/>
        <v>1</v>
      </c>
      <c r="K32" s="34"/>
      <c r="L32" s="34"/>
      <c r="M32" s="34"/>
      <c r="N32" s="34"/>
      <c r="O32" s="34"/>
      <c r="P32" s="34"/>
      <c r="Q32" s="34"/>
      <c r="R32" s="34"/>
      <c r="S32" s="34"/>
      <c r="T32" s="34"/>
      <c r="U32" s="34"/>
      <c r="V32" s="34"/>
      <c r="W32" s="34"/>
      <c r="X32" s="34"/>
      <c r="Y32" s="34"/>
      <c r="Z32" s="34"/>
      <c r="AA32" s="34"/>
      <c r="AB32" s="34"/>
      <c r="AC32" s="34"/>
      <c r="AD32" s="34"/>
      <c r="AE32" s="34"/>
    </row>
    <row r="33" spans="5:31" s="24" customFormat="1">
      <c r="E33" s="915">
        <v>140</v>
      </c>
      <c r="F33" s="917">
        <f t="shared" si="9"/>
        <v>14992</v>
      </c>
      <c r="G33" s="917">
        <f t="shared" si="4"/>
        <v>0</v>
      </c>
      <c r="H33" s="917">
        <f t="shared" si="5"/>
        <v>14992</v>
      </c>
      <c r="I33" s="918">
        <f t="shared" si="6"/>
        <v>0</v>
      </c>
      <c r="J33" s="919">
        <f t="shared" si="7"/>
        <v>1</v>
      </c>
      <c r="K33" s="34"/>
      <c r="L33" s="34"/>
      <c r="M33" s="34"/>
      <c r="N33" s="34"/>
      <c r="O33" s="34"/>
      <c r="P33" s="34"/>
      <c r="Q33" s="34"/>
      <c r="R33" s="34"/>
      <c r="S33" s="34"/>
      <c r="T33" s="34"/>
      <c r="U33" s="34"/>
      <c r="V33" s="34"/>
      <c r="W33" s="34"/>
      <c r="X33" s="34"/>
      <c r="Y33" s="34"/>
      <c r="Z33" s="34"/>
      <c r="AA33" s="34"/>
      <c r="AB33" s="34"/>
      <c r="AC33" s="34"/>
      <c r="AD33" s="34"/>
      <c r="AE33" s="34"/>
    </row>
    <row r="34" spans="5:31" s="24" customFormat="1">
      <c r="E34" s="915">
        <v>150</v>
      </c>
      <c r="F34" s="917">
        <f t="shared" si="9"/>
        <v>14992</v>
      </c>
      <c r="G34" s="917">
        <f t="shared" si="4"/>
        <v>0</v>
      </c>
      <c r="H34" s="917">
        <f t="shared" si="5"/>
        <v>14992</v>
      </c>
      <c r="I34" s="918">
        <f t="shared" si="6"/>
        <v>0</v>
      </c>
      <c r="J34" s="919">
        <f t="shared" si="7"/>
        <v>1</v>
      </c>
      <c r="K34" s="34"/>
      <c r="L34" s="34"/>
      <c r="M34" s="34"/>
      <c r="N34" s="34"/>
      <c r="O34" s="34"/>
      <c r="P34" s="34"/>
      <c r="Q34" s="34"/>
      <c r="R34" s="34"/>
      <c r="S34" s="34"/>
      <c r="T34" s="34"/>
      <c r="U34" s="34"/>
      <c r="V34" s="34"/>
      <c r="W34" s="34"/>
      <c r="X34" s="34"/>
      <c r="Y34" s="34"/>
      <c r="Z34" s="34"/>
      <c r="AA34" s="34"/>
      <c r="AB34" s="34"/>
      <c r="AC34" s="34"/>
      <c r="AD34" s="34"/>
      <c r="AE34" s="34"/>
    </row>
    <row r="35" spans="5:31">
      <c r="E35" s="915">
        <v>160</v>
      </c>
      <c r="F35" s="917">
        <f t="shared" si="9"/>
        <v>14992</v>
      </c>
      <c r="G35" s="917">
        <f t="shared" si="4"/>
        <v>0</v>
      </c>
      <c r="H35" s="917">
        <f t="shared" si="5"/>
        <v>14992</v>
      </c>
      <c r="I35" s="918">
        <f t="shared" si="6"/>
        <v>0</v>
      </c>
      <c r="J35" s="919">
        <f t="shared" si="7"/>
        <v>1</v>
      </c>
    </row>
    <row r="36" spans="5:31">
      <c r="E36" s="915">
        <v>170</v>
      </c>
      <c r="F36" s="917">
        <f t="shared" si="9"/>
        <v>14992</v>
      </c>
      <c r="G36" s="917">
        <f t="shared" si="4"/>
        <v>0</v>
      </c>
      <c r="H36" s="917">
        <f t="shared" si="5"/>
        <v>14992</v>
      </c>
      <c r="I36" s="918">
        <f t="shared" si="6"/>
        <v>0</v>
      </c>
      <c r="J36" s="919">
        <f t="shared" si="7"/>
        <v>1</v>
      </c>
    </row>
    <row r="37" spans="5:31">
      <c r="E37" s="915">
        <v>180</v>
      </c>
      <c r="F37" s="917">
        <f t="shared" ref="F37:F42" si="10">8*2580</f>
        <v>20640</v>
      </c>
      <c r="G37" s="917">
        <f t="shared" si="4"/>
        <v>0</v>
      </c>
      <c r="H37" s="917">
        <f t="shared" si="5"/>
        <v>20640</v>
      </c>
      <c r="I37" s="918">
        <f t="shared" si="6"/>
        <v>0</v>
      </c>
      <c r="J37" s="919">
        <f t="shared" si="7"/>
        <v>1</v>
      </c>
    </row>
    <row r="38" spans="5:31">
      <c r="E38" s="915">
        <v>190</v>
      </c>
      <c r="F38" s="917">
        <f t="shared" si="10"/>
        <v>20640</v>
      </c>
      <c r="G38" s="917">
        <f t="shared" si="4"/>
        <v>0</v>
      </c>
      <c r="H38" s="917">
        <f t="shared" si="5"/>
        <v>20640</v>
      </c>
      <c r="I38" s="918">
        <f t="shared" si="6"/>
        <v>0</v>
      </c>
      <c r="J38" s="919">
        <f t="shared" si="7"/>
        <v>1</v>
      </c>
    </row>
    <row r="39" spans="5:31">
      <c r="E39" s="915">
        <v>200</v>
      </c>
      <c r="F39" s="917">
        <f t="shared" si="10"/>
        <v>20640</v>
      </c>
      <c r="G39" s="917">
        <f t="shared" si="4"/>
        <v>0</v>
      </c>
      <c r="H39" s="917">
        <f t="shared" si="5"/>
        <v>20640</v>
      </c>
      <c r="I39" s="918">
        <f t="shared" si="6"/>
        <v>0</v>
      </c>
      <c r="J39" s="919">
        <f t="shared" si="7"/>
        <v>1</v>
      </c>
    </row>
    <row r="40" spans="5:31">
      <c r="E40" s="915">
        <v>210</v>
      </c>
      <c r="F40" s="917">
        <f t="shared" si="10"/>
        <v>20640</v>
      </c>
      <c r="G40" s="917">
        <f t="shared" si="4"/>
        <v>0</v>
      </c>
      <c r="H40" s="917">
        <f t="shared" si="5"/>
        <v>20640</v>
      </c>
      <c r="I40" s="918">
        <f t="shared" si="6"/>
        <v>0</v>
      </c>
      <c r="J40" s="919">
        <f t="shared" si="7"/>
        <v>1</v>
      </c>
    </row>
    <row r="41" spans="5:31">
      <c r="E41" s="915">
        <v>220</v>
      </c>
      <c r="F41" s="917">
        <f t="shared" si="10"/>
        <v>20640</v>
      </c>
      <c r="G41" s="917">
        <f t="shared" si="4"/>
        <v>0</v>
      </c>
      <c r="H41" s="917">
        <f t="shared" si="5"/>
        <v>20640</v>
      </c>
      <c r="I41" s="918">
        <f t="shared" si="6"/>
        <v>0</v>
      </c>
      <c r="J41" s="919">
        <f t="shared" si="7"/>
        <v>1</v>
      </c>
    </row>
    <row r="42" spans="5:31">
      <c r="E42" s="915">
        <v>230</v>
      </c>
      <c r="F42" s="917">
        <f t="shared" si="10"/>
        <v>20640</v>
      </c>
      <c r="G42" s="917">
        <f t="shared" si="4"/>
        <v>0</v>
      </c>
      <c r="H42" s="917">
        <f t="shared" si="5"/>
        <v>20640</v>
      </c>
      <c r="I42" s="918">
        <f t="shared" si="6"/>
        <v>0</v>
      </c>
      <c r="J42" s="919">
        <f t="shared" si="7"/>
        <v>1</v>
      </c>
    </row>
    <row r="43" spans="5:31">
      <c r="E43" s="915">
        <v>240</v>
      </c>
      <c r="F43" s="917">
        <f>8*3137</f>
        <v>25096</v>
      </c>
      <c r="G43" s="917">
        <f t="shared" si="4"/>
        <v>0</v>
      </c>
      <c r="H43" s="917">
        <f t="shared" si="5"/>
        <v>25096</v>
      </c>
      <c r="I43" s="918">
        <f t="shared" si="6"/>
        <v>0</v>
      </c>
      <c r="J43" s="919">
        <f t="shared" si="7"/>
        <v>1</v>
      </c>
    </row>
    <row r="44" spans="5:31">
      <c r="E44" s="920">
        <v>250</v>
      </c>
      <c r="F44" s="921">
        <f>8*3137</f>
        <v>25096</v>
      </c>
      <c r="G44" s="921">
        <f t="shared" si="4"/>
        <v>0</v>
      </c>
      <c r="H44" s="921">
        <f t="shared" si="5"/>
        <v>25096</v>
      </c>
      <c r="I44" s="922">
        <f t="shared" si="6"/>
        <v>0</v>
      </c>
      <c r="J44" s="923">
        <f t="shared" si="7"/>
        <v>1</v>
      </c>
    </row>
  </sheetData>
  <pageMargins left="0.25" right="0.25" top="0.25" bottom="0.5" header="0" footer="0"/>
  <pageSetup scale="50" orientation="landscape" r:id="rId1"/>
  <headerFooter alignWithMargins="0">
    <oddFooter>&amp;L&amp;D   &amp;T&amp;R&amp;F
&amp;A &amp;P</oddFooter>
  </headerFooter>
  <colBreaks count="1" manualBreakCount="1">
    <brk id="15" max="43"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heetViews>
  <sheetFormatPr defaultRowHeight="12.75"/>
  <cols>
    <col min="1" max="1" width="14.5703125" customWidth="1"/>
  </cols>
  <sheetData>
    <row r="1" spans="1:3">
      <c r="A1" s="958" t="str">
        <f>'PPA Assumptions &amp;Summary'!A1</f>
        <v>WILTON CENTER, Will County, IL</v>
      </c>
    </row>
    <row r="2" spans="1:3">
      <c r="A2" s="959" t="s">
        <v>570</v>
      </c>
    </row>
    <row r="5" spans="1:3">
      <c r="A5" s="960" t="s">
        <v>571</v>
      </c>
    </row>
    <row r="7" spans="1:3">
      <c r="A7" t="s">
        <v>572</v>
      </c>
      <c r="C7">
        <f>NetMW</f>
        <v>608</v>
      </c>
    </row>
    <row r="8" spans="1:3">
      <c r="A8" t="s">
        <v>573</v>
      </c>
      <c r="C8" s="961">
        <f>HeatRate</f>
        <v>11973</v>
      </c>
    </row>
    <row r="9" spans="1:3">
      <c r="A9" t="s">
        <v>574</v>
      </c>
      <c r="C9">
        <f>'Project Assumptions'!I8</f>
        <v>8</v>
      </c>
    </row>
    <row r="10" spans="1:3">
      <c r="A10" t="s">
        <v>575</v>
      </c>
      <c r="C10">
        <f>AnnualHours</f>
        <v>1200</v>
      </c>
    </row>
    <row r="11" spans="1:3">
      <c r="A11" t="s">
        <v>590</v>
      </c>
      <c r="C11">
        <f>'Project Assumptions'!N60</f>
        <v>0</v>
      </c>
    </row>
    <row r="13" spans="1:3">
      <c r="A13" s="960" t="s">
        <v>576</v>
      </c>
    </row>
    <row r="14" spans="1:3">
      <c r="C14" s="962">
        <v>1999</v>
      </c>
    </row>
    <row r="15" spans="1:3">
      <c r="A15" t="s">
        <v>577</v>
      </c>
      <c r="C15" s="961">
        <f>Labor+Fixed</f>
        <v>997</v>
      </c>
    </row>
    <row r="16" spans="1:3">
      <c r="A16" t="s">
        <v>578</v>
      </c>
      <c r="C16" s="961">
        <f>'Project Assumptions'!L11</f>
        <v>629.48</v>
      </c>
    </row>
    <row r="17" spans="1:24">
      <c r="A17" t="s">
        <v>579</v>
      </c>
      <c r="C17" s="961">
        <f>'Project Assumptions'!O16</f>
        <v>0</v>
      </c>
    </row>
    <row r="18" spans="1:24">
      <c r="A18" t="s">
        <v>580</v>
      </c>
      <c r="C18" s="961">
        <f>'Project Assumptions'!O15</f>
        <v>1799.04</v>
      </c>
    </row>
    <row r="19" spans="1:24">
      <c r="A19" t="s">
        <v>581</v>
      </c>
      <c r="C19" s="961">
        <f>'Project Assumptions'!N33</f>
        <v>291</v>
      </c>
    </row>
    <row r="20" spans="1:24">
      <c r="A20" t="s">
        <v>582</v>
      </c>
      <c r="C20" s="961">
        <f>'Project Assumptions'!N35+'Project Assumptions'!N36+'Project Assumptions'!N37+'Project Assumptions'!N38</f>
        <v>491</v>
      </c>
    </row>
    <row r="21" spans="1:24">
      <c r="A21" t="s">
        <v>594</v>
      </c>
      <c r="C21" s="961">
        <f>'Project Assumptions'!N34</f>
        <v>64.400000000000006</v>
      </c>
    </row>
    <row r="22" spans="1:24">
      <c r="A22" t="s">
        <v>583</v>
      </c>
      <c r="C22" s="961">
        <v>0</v>
      </c>
      <c r="D22" s="961">
        <f>'Book Income Statement'!D55+'Book Income Statement'!D60</f>
        <v>458.13206551560017</v>
      </c>
      <c r="E22" s="961">
        <f>'Book Income Statement'!E55+'Book Income Statement'!E60</f>
        <v>422.04438401560014</v>
      </c>
      <c r="F22" s="961">
        <f>'Book Income Statement'!F55+'Book Income Statement'!F60</f>
        <v>422.04438401560014</v>
      </c>
      <c r="G22" s="961">
        <f>'Book Income Statement'!G55+'Book Income Statement'!G60</f>
        <v>422.04438401560014</v>
      </c>
      <c r="H22" s="961">
        <f>'Book Income Statement'!H55+'Book Income Statement'!H60</f>
        <v>422.04438401560014</v>
      </c>
      <c r="I22" s="961">
        <f>'Book Income Statement'!I55+'Book Income Statement'!I60</f>
        <v>380.06010149372815</v>
      </c>
      <c r="J22" s="961">
        <f>'Book Income Statement'!J55+'Book Income Statement'!J60</f>
        <v>380.06010149372815</v>
      </c>
      <c r="K22" s="961">
        <f>'Book Income Statement'!K55+'Book Income Statement'!K60</f>
        <v>380.06010149372815</v>
      </c>
      <c r="L22" s="961">
        <f>'Book Income Statement'!L55+'Book Income Statement'!L60</f>
        <v>380.06010149372815</v>
      </c>
      <c r="M22" s="961">
        <f>'Book Income Statement'!M55+'Book Income Statement'!M60</f>
        <v>338.07581897185611</v>
      </c>
      <c r="N22" s="961">
        <f>'Book Income Statement'!N55+'Book Income Statement'!N60</f>
        <v>338.07581897185611</v>
      </c>
      <c r="O22" s="961">
        <f>'Book Income Statement'!O55+'Book Income Statement'!O60</f>
        <v>338.07581897185611</v>
      </c>
      <c r="P22" s="961">
        <f>'Book Income Statement'!P55+'Book Income Statement'!P60</f>
        <v>338.07581897185611</v>
      </c>
      <c r="Q22" s="961">
        <f>'Book Income Statement'!Q55+'Book Income Statement'!Q60</f>
        <v>296.09153644998412</v>
      </c>
      <c r="R22" s="961">
        <f>'Book Income Statement'!R55+'Book Income Statement'!R60</f>
        <v>296.09153644998412</v>
      </c>
      <c r="S22" s="961">
        <f>'Book Income Statement'!S55+'Book Income Statement'!S60</f>
        <v>296.09153644998412</v>
      </c>
      <c r="T22" s="961">
        <f>'Book Income Statement'!T55+'Book Income Statement'!T60</f>
        <v>296.09153644998412</v>
      </c>
      <c r="U22" s="961">
        <f>'Book Income Statement'!U55+'Book Income Statement'!U60</f>
        <v>254.10725392811213</v>
      </c>
      <c r="V22" s="961">
        <f>'Book Income Statement'!V55+'Book Income Statement'!V60</f>
        <v>254.10725392811213</v>
      </c>
      <c r="W22" s="961">
        <f>'Book Income Statement'!W55+'Book Income Statement'!W60</f>
        <v>254.10725392811213</v>
      </c>
      <c r="X22" s="961"/>
    </row>
    <row r="23" spans="1:24">
      <c r="A23" t="s">
        <v>454</v>
      </c>
      <c r="C23" s="961"/>
    </row>
    <row r="24" spans="1:24">
      <c r="A24" t="s">
        <v>584</v>
      </c>
      <c r="C24" s="961">
        <f>'Project Assumptions'!N22</f>
        <v>210.38062283737025</v>
      </c>
    </row>
    <row r="25" spans="1:24">
      <c r="A25" t="s">
        <v>501</v>
      </c>
      <c r="C25" s="961">
        <f>'Project Assumptions'!N24</f>
        <v>250</v>
      </c>
    </row>
    <row r="27" spans="1:24">
      <c r="A27" s="959" t="s">
        <v>585</v>
      </c>
    </row>
    <row r="29" spans="1:24">
      <c r="A29" t="s">
        <v>564</v>
      </c>
      <c r="C29" s="963">
        <f>VEP</f>
        <v>0.8627741228070176</v>
      </c>
    </row>
    <row r="30" spans="1:24">
      <c r="A30" t="s">
        <v>586</v>
      </c>
      <c r="C30" s="961">
        <f>START_PAY</f>
        <v>1874</v>
      </c>
    </row>
    <row r="34" spans="1:25">
      <c r="A34" s="1014" t="s">
        <v>640</v>
      </c>
      <c r="B34" s="1015"/>
      <c r="C34" s="1015"/>
      <c r="D34" s="1015"/>
      <c r="E34" s="1015"/>
      <c r="F34" s="1015"/>
      <c r="G34" s="1015"/>
      <c r="H34" s="1015"/>
      <c r="I34" s="1015"/>
      <c r="J34" s="1015"/>
      <c r="K34" s="1015"/>
      <c r="L34" s="1015"/>
      <c r="M34" s="1015"/>
      <c r="N34" s="1015"/>
      <c r="O34" s="1015"/>
      <c r="P34" s="1015"/>
      <c r="Q34" s="1015"/>
      <c r="R34" s="1015"/>
      <c r="S34" s="1015"/>
      <c r="T34" s="1015"/>
      <c r="U34" s="1015"/>
      <c r="V34" s="1015"/>
      <c r="W34" s="1015"/>
      <c r="X34" s="1015"/>
      <c r="Y34" s="1016"/>
    </row>
    <row r="35" spans="1:25">
      <c r="A35" s="915"/>
      <c r="B35" s="916"/>
      <c r="C35" s="1017">
        <v>2000</v>
      </c>
      <c r="D35" s="1017">
        <f>C35+1</f>
        <v>2001</v>
      </c>
      <c r="E35" s="1017">
        <f t="shared" ref="E35:Y35" si="0">D35+1</f>
        <v>2002</v>
      </c>
      <c r="F35" s="1017">
        <f t="shared" si="0"/>
        <v>2003</v>
      </c>
      <c r="G35" s="1017">
        <f t="shared" si="0"/>
        <v>2004</v>
      </c>
      <c r="H35" s="1017">
        <f t="shared" si="0"/>
        <v>2005</v>
      </c>
      <c r="I35" s="1017">
        <f t="shared" si="0"/>
        <v>2006</v>
      </c>
      <c r="J35" s="1017">
        <f t="shared" si="0"/>
        <v>2007</v>
      </c>
      <c r="K35" s="1017">
        <f t="shared" si="0"/>
        <v>2008</v>
      </c>
      <c r="L35" s="1017">
        <f t="shared" si="0"/>
        <v>2009</v>
      </c>
      <c r="M35" s="1017">
        <f t="shared" si="0"/>
        <v>2010</v>
      </c>
      <c r="N35" s="1017">
        <f t="shared" si="0"/>
        <v>2011</v>
      </c>
      <c r="O35" s="1017">
        <f t="shared" si="0"/>
        <v>2012</v>
      </c>
      <c r="P35" s="1017">
        <f t="shared" si="0"/>
        <v>2013</v>
      </c>
      <c r="Q35" s="1017">
        <f t="shared" si="0"/>
        <v>2014</v>
      </c>
      <c r="R35" s="1017">
        <f t="shared" si="0"/>
        <v>2015</v>
      </c>
      <c r="S35" s="1017">
        <f t="shared" si="0"/>
        <v>2016</v>
      </c>
      <c r="T35" s="1017">
        <f t="shared" si="0"/>
        <v>2017</v>
      </c>
      <c r="U35" s="1017">
        <f t="shared" si="0"/>
        <v>2018</v>
      </c>
      <c r="V35" s="1017">
        <f t="shared" si="0"/>
        <v>2019</v>
      </c>
      <c r="W35" s="1017">
        <f t="shared" si="0"/>
        <v>2020</v>
      </c>
      <c r="X35" s="1017">
        <f t="shared" si="0"/>
        <v>2021</v>
      </c>
      <c r="Y35" s="1018">
        <f t="shared" si="0"/>
        <v>2022</v>
      </c>
    </row>
    <row r="36" spans="1:25">
      <c r="A36" s="915" t="s">
        <v>663</v>
      </c>
      <c r="B36" s="916"/>
      <c r="C36" s="917">
        <f>[3]Wilton!F39</f>
        <v>15633.288810617441</v>
      </c>
      <c r="D36" s="917">
        <f>[3]Wilton!G39</f>
        <v>26504.468933024611</v>
      </c>
      <c r="E36" s="917">
        <f>[3]Wilton!H39</f>
        <v>26430.229976818035</v>
      </c>
      <c r="F36" s="917">
        <f>[3]Wilton!I39</f>
        <v>36506.68762686431</v>
      </c>
      <c r="G36" s="917">
        <f>[3]Wilton!J39</f>
        <v>44254.572623361528</v>
      </c>
      <c r="H36" s="917">
        <f>[3]Wilton!K39</f>
        <v>45641.108313535726</v>
      </c>
      <c r="I36" s="917">
        <f>[3]Wilton!L39</f>
        <v>45384.894784807417</v>
      </c>
      <c r="J36" s="917">
        <f>[3]Wilton!M39</f>
        <v>45916.651560973711</v>
      </c>
      <c r="K36" s="917">
        <f>[3]Wilton!N39</f>
        <v>46439.014862731812</v>
      </c>
      <c r="L36" s="917">
        <f>[3]Wilton!O39</f>
        <v>46993.482295740992</v>
      </c>
      <c r="M36" s="917">
        <f>[3]Wilton!P39</f>
        <v>47509.395187065667</v>
      </c>
      <c r="N36" s="917">
        <f>[3]Wilton!Q39</f>
        <v>48003.595668301605</v>
      </c>
      <c r="O36" s="917">
        <f>[3]Wilton!R39</f>
        <v>48483.7506359658</v>
      </c>
      <c r="P36" s="917">
        <f>[3]Wilton!S39</f>
        <v>48991.267489092636</v>
      </c>
      <c r="Q36" s="917">
        <f>[3]Wilton!T39</f>
        <v>49435.881659490697</v>
      </c>
      <c r="R36" s="917">
        <f>[3]Wilton!U39</f>
        <v>49862.971449643781</v>
      </c>
      <c r="S36" s="917">
        <f>[3]Wilton!V39</f>
        <v>50274.782488987905</v>
      </c>
      <c r="T36" s="917">
        <f>[3]Wilton!W39</f>
        <v>50723.372703440837</v>
      </c>
      <c r="U36" s="917">
        <f>[3]Wilton!X39</f>
        <v>51090.441294402532</v>
      </c>
      <c r="V36" s="917">
        <f>[3]Wilton!Y39</f>
        <v>50238.224869042941</v>
      </c>
      <c r="W36" s="917">
        <f>[3]Wilton!Z39</f>
        <v>50445.085532028359</v>
      </c>
      <c r="X36" s="917">
        <f>[3]Wilton!AA39</f>
        <v>0</v>
      </c>
      <c r="Y36" s="909"/>
    </row>
    <row r="37" spans="1:25">
      <c r="A37" s="915" t="s">
        <v>644</v>
      </c>
      <c r="B37" s="916"/>
      <c r="C37" s="1019">
        <f>'Book Income Statement'!D65</f>
        <v>15154.041410262944</v>
      </c>
      <c r="D37" s="1019">
        <f>'Book Income Statement'!E65</f>
        <v>26317.874753216238</v>
      </c>
      <c r="E37" s="1019">
        <f>'Book Income Statement'!F65</f>
        <v>26244.552327333178</v>
      </c>
      <c r="F37" s="1019">
        <f>'Book Income Statement'!G65</f>
        <v>36154.232621668074</v>
      </c>
      <c r="G37" s="1019">
        <f>'Book Income Statement'!H65</f>
        <v>43840.396018615051</v>
      </c>
      <c r="H37" s="1019">
        <f>'Book Income Statement'!I65</f>
        <v>45209.78365417583</v>
      </c>
      <c r="I37" s="1019">
        <f>'Book Income Statement'!J65</f>
        <v>44956.73325543182</v>
      </c>
      <c r="J37" s="1019">
        <f>'Book Income Statement'!K65</f>
        <v>45481.925133126919</v>
      </c>
      <c r="K37" s="1019">
        <f>'Book Income Statement'!L65</f>
        <v>45997.839505233693</v>
      </c>
      <c r="L37" s="1019">
        <f>'Book Income Statement'!M65</f>
        <v>46545.431331248787</v>
      </c>
      <c r="M37" s="1019">
        <f>'Book Income Statement'!N65</f>
        <v>47039.649313476752</v>
      </c>
      <c r="N37" s="1019">
        <f>'Book Income Statement'!O65</f>
        <v>47521.339313974386</v>
      </c>
      <c r="O37" s="1019">
        <f>'Book Income Statement'!P65</f>
        <v>47989.304857653871</v>
      </c>
      <c r="P37" s="1019">
        <f>'Book Income Statement'!Q65</f>
        <v>48484.273238627575</v>
      </c>
      <c r="Q37" s="1019">
        <f>'Book Income Statement'!R65</f>
        <v>48920.955836148736</v>
      </c>
      <c r="R37" s="1019">
        <f>'Book Income Statement'!S65</f>
        <v>49339.951156994808</v>
      </c>
      <c r="S37" s="1019">
        <f>'Book Income Statement'!T65</f>
        <v>49739.804950227466</v>
      </c>
      <c r="T37" s="1019">
        <f>'Book Income Statement'!U65</f>
        <v>50160.975910923094</v>
      </c>
      <c r="U37" s="1019">
        <f>'Book Income Statement'!V65</f>
        <v>50517.895578720461</v>
      </c>
      <c r="V37" s="1019">
        <f>'Book Income Statement'!W65</f>
        <v>49661.15609035705</v>
      </c>
      <c r="W37" s="1019">
        <f>'Book Income Statement'!X65</f>
        <v>19281.874712566372</v>
      </c>
      <c r="X37" s="1019">
        <f>'Book Income Statement'!Y65</f>
        <v>0</v>
      </c>
      <c r="Y37" s="909"/>
    </row>
    <row r="38" spans="1:25">
      <c r="A38" s="915"/>
      <c r="B38" s="916"/>
      <c r="C38" s="917">
        <f>C36-C37</f>
        <v>479.24740035449759</v>
      </c>
      <c r="D38" s="917">
        <f t="shared" ref="D38:Y38" si="1">D36-D37</f>
        <v>186.59417980837316</v>
      </c>
      <c r="E38" s="917">
        <f t="shared" si="1"/>
        <v>185.67764948485637</v>
      </c>
      <c r="F38" s="917">
        <f t="shared" si="1"/>
        <v>352.45500519623602</v>
      </c>
      <c r="G38" s="917">
        <f t="shared" si="1"/>
        <v>414.1766047464771</v>
      </c>
      <c r="H38" s="917">
        <f t="shared" si="1"/>
        <v>431.32465935989603</v>
      </c>
      <c r="I38" s="917">
        <f t="shared" si="1"/>
        <v>428.16152937559673</v>
      </c>
      <c r="J38" s="917">
        <f t="shared" si="1"/>
        <v>434.72642784679192</v>
      </c>
      <c r="K38" s="917">
        <f t="shared" si="1"/>
        <v>441.17535749811941</v>
      </c>
      <c r="L38" s="917">
        <f t="shared" si="1"/>
        <v>448.05096449220582</v>
      </c>
      <c r="M38" s="917">
        <f t="shared" si="1"/>
        <v>469.74587358891586</v>
      </c>
      <c r="N38" s="917">
        <f t="shared" si="1"/>
        <v>482.25635432721901</v>
      </c>
      <c r="O38" s="917">
        <f t="shared" si="1"/>
        <v>494.44577831192873</v>
      </c>
      <c r="P38" s="917">
        <f t="shared" si="1"/>
        <v>506.99425046506076</v>
      </c>
      <c r="Q38" s="917">
        <f t="shared" si="1"/>
        <v>514.92582334196049</v>
      </c>
      <c r="R38" s="917">
        <f t="shared" si="1"/>
        <v>523.02029264897283</v>
      </c>
      <c r="S38" s="917">
        <f t="shared" si="1"/>
        <v>534.97753876043862</v>
      </c>
      <c r="T38" s="917">
        <f t="shared" si="1"/>
        <v>562.39679251774214</v>
      </c>
      <c r="U38" s="917">
        <f t="shared" si="1"/>
        <v>572.54571568207029</v>
      </c>
      <c r="V38" s="917">
        <f t="shared" si="1"/>
        <v>577.06877868589072</v>
      </c>
      <c r="W38" s="917">
        <f t="shared" si="1"/>
        <v>31163.210819461987</v>
      </c>
      <c r="X38" s="917">
        <f t="shared" si="1"/>
        <v>0</v>
      </c>
      <c r="Y38" s="1020">
        <f t="shared" si="1"/>
        <v>0</v>
      </c>
    </row>
    <row r="39" spans="1:25">
      <c r="A39" s="915"/>
      <c r="B39" s="916"/>
      <c r="C39" s="916"/>
      <c r="D39" s="916"/>
      <c r="E39" s="916"/>
      <c r="F39" s="916"/>
      <c r="G39" s="916"/>
      <c r="H39" s="916"/>
      <c r="I39" s="916"/>
      <c r="J39" s="916"/>
      <c r="K39" s="916"/>
      <c r="L39" s="916"/>
      <c r="M39" s="916"/>
      <c r="N39" s="916"/>
      <c r="O39" s="916"/>
      <c r="P39" s="916"/>
      <c r="Q39" s="916"/>
      <c r="R39" s="916"/>
      <c r="S39" s="916"/>
      <c r="T39" s="916"/>
      <c r="U39" s="916"/>
      <c r="V39" s="916"/>
      <c r="W39" s="916"/>
      <c r="X39" s="916"/>
      <c r="Y39" s="909"/>
    </row>
    <row r="40" spans="1:25">
      <c r="A40" s="915" t="s">
        <v>641</v>
      </c>
      <c r="B40" s="916"/>
      <c r="C40" s="917">
        <f>[3]Calvert!F32</f>
        <v>94.897140327424509</v>
      </c>
      <c r="D40" s="917">
        <f>[3]Calvert!G32</f>
        <v>162.68081198987059</v>
      </c>
      <c r="E40" s="917">
        <f>[3]Calvert!H32</f>
        <v>162.68081198987059</v>
      </c>
      <c r="F40" s="917">
        <f>[3]Calvert!I32</f>
        <v>162.68081198987059</v>
      </c>
      <c r="G40" s="917">
        <f>[3]Calvert!J32</f>
        <v>154.10923546130201</v>
      </c>
      <c r="H40" s="917">
        <f>[3]Calvert!K32</f>
        <v>154.10923546130201</v>
      </c>
      <c r="I40" s="917">
        <f>[3]Calvert!L32</f>
        <v>154.10923546130201</v>
      </c>
      <c r="J40" s="917">
        <f>[3]Calvert!M32</f>
        <v>154.10923546130201</v>
      </c>
      <c r="K40" s="917">
        <f>[3]Calvert!N32</f>
        <v>154.10923546130201</v>
      </c>
      <c r="L40" s="917">
        <f>[3]Calvert!O32</f>
        <v>154.10923546130201</v>
      </c>
      <c r="M40" s="917">
        <f>[3]Calvert!P32</f>
        <v>138.55454636091247</v>
      </c>
      <c r="N40" s="917">
        <f>[3]Calvert!Q32</f>
        <v>132.04950596184318</v>
      </c>
      <c r="O40" s="917">
        <f>[3]Calvert!R32</f>
        <v>125.69432794771673</v>
      </c>
      <c r="P40" s="917">
        <f>[3]Calvert!S32</f>
        <v>119.34836862794066</v>
      </c>
      <c r="Q40" s="917">
        <f>[3]Calvert!T32</f>
        <v>116.86935092169313</v>
      </c>
      <c r="R40" s="917">
        <f>[3]Calvert!U32</f>
        <v>114.00541773564787</v>
      </c>
      <c r="S40" s="917">
        <f>[3]Calvert!V32</f>
        <v>107.0295240719369</v>
      </c>
      <c r="T40" s="917">
        <f>[3]Calvert!W32</f>
        <v>84.852143368280565</v>
      </c>
      <c r="U40" s="917">
        <f>[3]Calvert!X32</f>
        <v>79.150969632330188</v>
      </c>
      <c r="V40" s="917">
        <f>[3]Calvert!Y32</f>
        <v>63.881846787253153</v>
      </c>
      <c r="W40" s="917">
        <f>[3]Calvert!Z32</f>
        <v>63.881846787253153</v>
      </c>
      <c r="X40" s="917">
        <f>[3]Calvert!AA32</f>
        <v>0</v>
      </c>
      <c r="Y40" s="917">
        <f>[3]Calvert!AB32</f>
        <v>0</v>
      </c>
    </row>
    <row r="41" spans="1:25">
      <c r="A41" s="915" t="s">
        <v>642</v>
      </c>
      <c r="B41" s="916"/>
      <c r="C41" s="1019">
        <f>-[3]Wilton!F19</f>
        <v>-193.00356556317828</v>
      </c>
      <c r="D41" s="1019">
        <f>-[3]Wilton!G19</f>
        <v>-327.21566583981007</v>
      </c>
      <c r="E41" s="1019">
        <f>-[3]Wilton!H19</f>
        <v>-326.29913551627209</v>
      </c>
      <c r="F41" s="1019">
        <f>-[3]Wilton!I19</f>
        <v>-450.6998472452384</v>
      </c>
      <c r="G41" s="1019">
        <f>-[3]Wilton!J19</f>
        <v>-546.35274843656214</v>
      </c>
      <c r="H41" s="1019">
        <f>-[3]Wilton!K19</f>
        <v>-563.47047300661393</v>
      </c>
      <c r="I41" s="1019">
        <f>-[3]Wilton!L19</f>
        <v>-560.30734302231383</v>
      </c>
      <c r="J41" s="1019">
        <f>-[3]Wilton!M19</f>
        <v>-566.87224149350266</v>
      </c>
      <c r="K41" s="1019">
        <f>-[3]Wilton!N19</f>
        <v>-573.32117114483719</v>
      </c>
      <c r="L41" s="1019">
        <f>-[3]Wilton!O19</f>
        <v>-580.16644809556783</v>
      </c>
      <c r="M41" s="1019">
        <f>-[3]Wilton!P19</f>
        <v>-586.53574305019345</v>
      </c>
      <c r="N41" s="1019">
        <f>-[3]Wilton!Q19</f>
        <v>-592.63698355927909</v>
      </c>
      <c r="O41" s="1019">
        <f>-[3]Wilton!R19</f>
        <v>-598.56482266624448</v>
      </c>
      <c r="P41" s="1019">
        <f>-[3]Wilton!S19</f>
        <v>-604.83046282830412</v>
      </c>
      <c r="Q41" s="1019">
        <f>-[3]Wilton!T19</f>
        <v>-610.3195266603791</v>
      </c>
      <c r="R41" s="1019">
        <f>-[3]Wilton!U19</f>
        <v>-615.59224011905906</v>
      </c>
      <c r="S41" s="1019">
        <f>-[3]Wilton!V19</f>
        <v>-620.67632702454205</v>
      </c>
      <c r="T41" s="1019">
        <f>-[3]Wilton!W19</f>
        <v>-626.21447782025734</v>
      </c>
      <c r="U41" s="1019">
        <f>-[3]Wilton!X19</f>
        <v>-630.74618881978438</v>
      </c>
      <c r="V41" s="1019">
        <f>-[3]Wilton!Y19</f>
        <v>-620.2249983832462</v>
      </c>
      <c r="W41" s="1019">
        <f>-[3]Wilton!Z19</f>
        <v>-622.77883372874521</v>
      </c>
      <c r="X41" s="1019">
        <f>-[3]Wilton!AA19</f>
        <v>0</v>
      </c>
      <c r="Y41" s="1019">
        <f>-[3]Wilton!AB19</f>
        <v>0</v>
      </c>
    </row>
    <row r="42" spans="1:25">
      <c r="A42" s="910" t="s">
        <v>643</v>
      </c>
      <c r="B42" s="1021"/>
      <c r="C42" s="1022">
        <f>C38+C40+C41</f>
        <v>381.14097511874377</v>
      </c>
      <c r="D42" s="1022">
        <f t="shared" ref="D42:Y42" si="2">D38+D40+D41</f>
        <v>22.059325958433647</v>
      </c>
      <c r="E42" s="1022">
        <f t="shared" si="2"/>
        <v>22.059325958454849</v>
      </c>
      <c r="F42" s="1022">
        <f t="shared" si="2"/>
        <v>64.435969940868176</v>
      </c>
      <c r="G42" s="1022">
        <f t="shared" si="2"/>
        <v>21.933091771216937</v>
      </c>
      <c r="H42" s="1022">
        <f t="shared" si="2"/>
        <v>21.96342181458408</v>
      </c>
      <c r="I42" s="1022">
        <f t="shared" si="2"/>
        <v>21.963421814584876</v>
      </c>
      <c r="J42" s="1022">
        <f t="shared" si="2"/>
        <v>21.963421814591243</v>
      </c>
      <c r="K42" s="1022">
        <f t="shared" si="2"/>
        <v>21.963421814584194</v>
      </c>
      <c r="L42" s="1022">
        <f t="shared" si="2"/>
        <v>21.993751857939969</v>
      </c>
      <c r="M42" s="1022">
        <f t="shared" si="2"/>
        <v>21.764676899634878</v>
      </c>
      <c r="N42" s="1022">
        <f t="shared" si="2"/>
        <v>21.668876729783051</v>
      </c>
      <c r="O42" s="1022">
        <f t="shared" si="2"/>
        <v>21.575283593400968</v>
      </c>
      <c r="P42" s="1022">
        <f t="shared" si="2"/>
        <v>21.512156264697296</v>
      </c>
      <c r="Q42" s="1022">
        <f t="shared" si="2"/>
        <v>21.475647603274524</v>
      </c>
      <c r="R42" s="1022">
        <f t="shared" si="2"/>
        <v>21.433470265561596</v>
      </c>
      <c r="S42" s="1022">
        <f t="shared" si="2"/>
        <v>21.330735807833435</v>
      </c>
      <c r="T42" s="1022">
        <f t="shared" si="2"/>
        <v>21.034458065765421</v>
      </c>
      <c r="U42" s="1022">
        <f t="shared" si="2"/>
        <v>20.950496494616118</v>
      </c>
      <c r="V42" s="1022">
        <f t="shared" si="2"/>
        <v>20.725627089897671</v>
      </c>
      <c r="W42" s="1022">
        <f t="shared" si="2"/>
        <v>30604.313832520493</v>
      </c>
      <c r="X42" s="1022">
        <f t="shared" si="2"/>
        <v>0</v>
      </c>
      <c r="Y42" s="1023">
        <f t="shared" si="2"/>
        <v>0</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tabSelected="1" view="pageBreakPreview" zoomScale="75" zoomScaleNormal="85" zoomScaleSheetLayoutView="75" workbookViewId="0">
      <selection activeCell="C52" sqref="C52"/>
    </sheetView>
  </sheetViews>
  <sheetFormatPr defaultColWidth="9.28515625" defaultRowHeight="12"/>
  <cols>
    <col min="1" max="1" width="35.140625" style="66" customWidth="1"/>
    <col min="2" max="2" width="9.5703125" style="66" bestFit="1" customWidth="1"/>
    <col min="3" max="3" width="17.7109375" style="66" bestFit="1" customWidth="1"/>
    <col min="4" max="4" width="5.85546875" style="66" customWidth="1"/>
    <col min="5" max="5" width="23.5703125" style="66" customWidth="1"/>
    <col min="6" max="6" width="11" style="66" bestFit="1" customWidth="1"/>
    <col min="7" max="7" width="13" style="66" customWidth="1"/>
    <col min="8" max="8" width="10.7109375" style="66" customWidth="1"/>
    <col min="9" max="9" width="11.140625" style="66" bestFit="1" customWidth="1"/>
    <col min="10" max="10" width="6.42578125" style="66" customWidth="1"/>
    <col min="11" max="11" width="23.140625" style="66" customWidth="1"/>
    <col min="12" max="12" width="13.7109375" style="66" customWidth="1"/>
    <col min="13" max="13" width="11.28515625" style="66" customWidth="1"/>
    <col min="14" max="14" width="12" style="66" bestFit="1" customWidth="1"/>
    <col min="15" max="15" width="8.42578125" style="66" customWidth="1"/>
    <col min="16" max="16" width="12.140625" style="66" customWidth="1"/>
    <col min="17" max="17" width="5.7109375" style="15" customWidth="1"/>
    <col min="18" max="18" width="16.5703125" style="15" customWidth="1"/>
    <col min="19" max="16384" width="9.28515625" style="15"/>
  </cols>
  <sheetData>
    <row r="1" spans="1:21" ht="15.75">
      <c r="B1" s="334" t="str">
        <f>IF(ABS(Loop)&gt;1,"Run the Tax Calc!","")</f>
        <v/>
      </c>
    </row>
    <row r="2" spans="1:21" ht="20.25">
      <c r="A2" s="1039" t="s">
        <v>371</v>
      </c>
      <c r="B2" s="1039"/>
      <c r="C2" s="1039"/>
      <c r="D2" s="1039"/>
      <c r="E2" s="1039"/>
      <c r="F2" s="1039"/>
      <c r="G2" s="1039"/>
      <c r="H2" s="1039"/>
      <c r="I2" s="1039"/>
      <c r="J2" s="1039"/>
      <c r="K2" s="1039"/>
      <c r="L2" s="1039"/>
      <c r="M2" s="1039"/>
      <c r="N2" s="1039"/>
      <c r="O2" s="889"/>
      <c r="P2" s="889"/>
      <c r="Q2" s="890"/>
      <c r="R2" s="890"/>
      <c r="S2" s="890"/>
      <c r="T2" s="890"/>
      <c r="U2" s="890"/>
    </row>
    <row r="3" spans="1:21" ht="13.9" customHeight="1">
      <c r="A3" s="1040" t="s">
        <v>10</v>
      </c>
      <c r="B3" s="1040"/>
      <c r="C3" s="1040"/>
      <c r="D3" s="1040"/>
      <c r="E3" s="1040"/>
      <c r="F3" s="1040"/>
      <c r="G3" s="1040"/>
      <c r="H3" s="1040"/>
      <c r="I3" s="1040"/>
      <c r="J3" s="1040"/>
      <c r="K3" s="1040"/>
      <c r="L3" s="1040"/>
      <c r="M3" s="1040"/>
      <c r="N3" s="1040"/>
    </row>
    <row r="4" spans="1:21" ht="13.9" customHeight="1">
      <c r="A4" s="1041" t="str">
        <f ca="1">CONCATENATE("File Location: ",CELL("filename"))</f>
        <v>File Location: H:\East Origination\Genco Third Party Scenarios\[Wilton_New - GE 7EA.xls]Project Assumptions</v>
      </c>
      <c r="B4" s="1041"/>
      <c r="C4" s="1041"/>
      <c r="D4" s="1041"/>
      <c r="E4" s="1041"/>
      <c r="F4" s="1041"/>
      <c r="G4" s="1041"/>
      <c r="H4" s="1041"/>
      <c r="I4" s="1041"/>
      <c r="J4" s="1041"/>
      <c r="K4" s="1041"/>
      <c r="L4" s="1041"/>
      <c r="M4" s="1041"/>
      <c r="N4" s="1041"/>
    </row>
    <row r="5" spans="1:21" ht="15.75">
      <c r="A5" s="267" t="s">
        <v>105</v>
      </c>
      <c r="B5" s="268"/>
      <c r="C5" s="269"/>
      <c r="E5" s="267" t="s">
        <v>11</v>
      </c>
      <c r="F5" s="268"/>
      <c r="G5" s="268"/>
      <c r="H5" s="268"/>
      <c r="I5" s="274"/>
      <c r="K5" s="278" t="s">
        <v>565</v>
      </c>
      <c r="L5" s="280"/>
      <c r="M5" s="268"/>
      <c r="N5" s="268"/>
      <c r="O5" s="268"/>
      <c r="P5" s="281"/>
      <c r="R5" s="267" t="s">
        <v>265</v>
      </c>
      <c r="S5" s="268"/>
      <c r="T5" s="268"/>
      <c r="U5" s="269"/>
    </row>
    <row r="6" spans="1:21" ht="12.75" customHeight="1">
      <c r="A6" s="265"/>
      <c r="B6" s="71"/>
      <c r="C6" s="87"/>
      <c r="E6" s="265"/>
      <c r="F6" s="71"/>
      <c r="G6" s="71"/>
      <c r="H6" s="71"/>
      <c r="I6" s="270"/>
      <c r="K6" s="64"/>
      <c r="L6" s="71"/>
      <c r="M6" s="927" t="s">
        <v>377</v>
      </c>
      <c r="N6" s="928">
        <v>1999</v>
      </c>
      <c r="O6" s="71"/>
      <c r="P6" s="87"/>
      <c r="R6" s="188" t="s">
        <v>546</v>
      </c>
      <c r="S6" s="71"/>
      <c r="T6" s="71"/>
      <c r="U6" s="945">
        <f>('Project Assumptions'!C15+'Project Assumptions'!C16+C20)*0.7576</f>
        <v>114433.72842880002</v>
      </c>
    </row>
    <row r="7" spans="1:21" ht="24.75">
      <c r="A7" s="92" t="s">
        <v>62</v>
      </c>
      <c r="B7" s="71"/>
      <c r="C7" s="87"/>
      <c r="E7" s="61" t="s">
        <v>263</v>
      </c>
      <c r="F7" s="71"/>
      <c r="G7" s="71"/>
      <c r="H7" s="872">
        <v>0</v>
      </c>
      <c r="I7" s="873" t="s">
        <v>372</v>
      </c>
      <c r="K7" s="88"/>
      <c r="L7" s="993" t="s">
        <v>368</v>
      </c>
      <c r="M7" s="242" t="s">
        <v>374</v>
      </c>
      <c r="N7" s="242" t="s">
        <v>375</v>
      </c>
      <c r="O7" s="176"/>
      <c r="P7" s="879" t="s">
        <v>513</v>
      </c>
      <c r="R7" s="61" t="s">
        <v>118</v>
      </c>
      <c r="S7" s="71"/>
      <c r="T7" s="71"/>
      <c r="U7" s="192">
        <f>15%*0.3333</f>
        <v>4.9994999999999998E-2</v>
      </c>
    </row>
    <row r="8" spans="1:21">
      <c r="A8" s="61" t="s">
        <v>13</v>
      </c>
      <c r="B8" s="69">
        <f>C8/C11</f>
        <v>0.28468845140956633</v>
      </c>
      <c r="C8" s="70">
        <f>C59-C9</f>
        <v>72751.789000000019</v>
      </c>
      <c r="E8" s="61" t="s">
        <v>12</v>
      </c>
      <c r="F8" s="71"/>
      <c r="G8" s="71"/>
      <c r="H8" s="874">
        <v>0</v>
      </c>
      <c r="I8" s="875">
        <v>8</v>
      </c>
      <c r="K8" s="72" t="s">
        <v>317</v>
      </c>
      <c r="L8" s="938">
        <v>60</v>
      </c>
      <c r="M8" s="73">
        <f>NetMW*AnnualHours</f>
        <v>729600</v>
      </c>
      <c r="N8" s="74">
        <f>WaterTreatmentVar/M8*1000</f>
        <v>8.223684210526315E-2</v>
      </c>
      <c r="O8" s="75"/>
      <c r="P8" s="880">
        <f>AVERAGE('Book Income Statement'!E26:H26)</f>
        <v>68.66142824086036</v>
      </c>
      <c r="R8" s="61" t="s">
        <v>423</v>
      </c>
      <c r="S8" s="83"/>
      <c r="T8" s="126"/>
      <c r="U8" s="195">
        <v>6.1154E-2</v>
      </c>
    </row>
    <row r="9" spans="1:21">
      <c r="A9" s="61" t="s">
        <v>14</v>
      </c>
      <c r="B9" s="69">
        <f>C9/C11</f>
        <v>0.71531154859043367</v>
      </c>
      <c r="C9" s="115">
        <f>IF(I34="Normal",'Debt Amortization'!$B$22,I38)</f>
        <v>182797</v>
      </c>
      <c r="E9" s="61" t="s">
        <v>664</v>
      </c>
      <c r="F9" s="71"/>
      <c r="G9" s="71"/>
      <c r="H9" s="876">
        <v>0</v>
      </c>
      <c r="I9" s="1032">
        <v>665.9</v>
      </c>
      <c r="K9" s="72" t="s">
        <v>438</v>
      </c>
      <c r="L9" s="938">
        <f>M9*N9/1000</f>
        <v>36.479999999999997</v>
      </c>
      <c r="M9" s="73">
        <f>NetMW*AnnualHours</f>
        <v>729600</v>
      </c>
      <c r="N9" s="241">
        <v>0.05</v>
      </c>
      <c r="O9" s="75"/>
      <c r="P9" s="880">
        <f>AVERAGE('Book Income Statement'!E27:H27)</f>
        <v>41.746148370443109</v>
      </c>
      <c r="R9" s="64" t="s">
        <v>422</v>
      </c>
      <c r="S9" s="71"/>
      <c r="T9" s="71"/>
      <c r="U9" s="125" t="s">
        <v>119</v>
      </c>
    </row>
    <row r="10" spans="1:21" ht="14.25">
      <c r="A10" s="78"/>
      <c r="B10" s="79"/>
      <c r="C10" s="80"/>
      <c r="E10" s="61" t="s">
        <v>366</v>
      </c>
      <c r="F10" s="71"/>
      <c r="G10" s="71"/>
      <c r="H10" s="874"/>
      <c r="I10" s="964">
        <v>608</v>
      </c>
      <c r="K10" s="72" t="s">
        <v>318</v>
      </c>
      <c r="L10" s="994">
        <v>533</v>
      </c>
      <c r="M10" s="73">
        <f>NetMW*AnnualHours</f>
        <v>729600</v>
      </c>
      <c r="N10" s="76">
        <f>Variable/M10*1000</f>
        <v>0.73053728070175439</v>
      </c>
      <c r="O10" s="77"/>
      <c r="P10" s="881">
        <f>AVERAGE('Book Income Statement'!E28:H28)</f>
        <v>609.94235420630957</v>
      </c>
      <c r="R10" s="196" t="s">
        <v>327</v>
      </c>
      <c r="S10" s="197"/>
      <c r="T10" s="198"/>
      <c r="U10" s="946">
        <f>Depreciation!C49</f>
        <v>269.89895906917718</v>
      </c>
    </row>
    <row r="11" spans="1:21">
      <c r="A11" s="61" t="s">
        <v>15</v>
      </c>
      <c r="B11" s="79"/>
      <c r="C11" s="266">
        <f>SUM(C8:C9)</f>
        <v>255548.78900000002</v>
      </c>
      <c r="E11" s="61" t="s">
        <v>616</v>
      </c>
      <c r="F11" s="1002">
        <v>0.02</v>
      </c>
      <c r="G11" s="71" t="s">
        <v>617</v>
      </c>
      <c r="H11" s="874"/>
      <c r="I11" s="1003">
        <f>NetMW*(1-F11)</f>
        <v>595.84</v>
      </c>
      <c r="K11" s="99" t="s">
        <v>517</v>
      </c>
      <c r="L11" s="995">
        <f>SUM(L8:L10)</f>
        <v>629.48</v>
      </c>
      <c r="M11" s="100"/>
      <c r="N11" s="244">
        <f>SUM(N8:N10)</f>
        <v>0.8627741228070176</v>
      </c>
      <c r="O11" s="245"/>
      <c r="P11" s="882">
        <f>AVERAGE('Book Income Statement'!E29:H29)</f>
        <v>720.34993081761309</v>
      </c>
    </row>
    <row r="12" spans="1:21" ht="15.75">
      <c r="A12" s="86"/>
      <c r="B12" s="79"/>
      <c r="C12" s="87"/>
      <c r="E12" s="84" t="s">
        <v>24</v>
      </c>
      <c r="F12" s="71"/>
      <c r="G12" s="71"/>
      <c r="H12" s="872"/>
      <c r="I12" s="877">
        <v>11973</v>
      </c>
      <c r="K12" s="71"/>
      <c r="L12" s="71"/>
      <c r="M12" s="71"/>
      <c r="N12" s="71"/>
      <c r="O12" s="71"/>
      <c r="P12" s="243"/>
      <c r="R12" s="267" t="s">
        <v>266</v>
      </c>
      <c r="S12" s="268"/>
      <c r="T12" s="268"/>
      <c r="U12" s="269"/>
    </row>
    <row r="13" spans="1:21" ht="15.75">
      <c r="A13" s="92" t="s">
        <v>63</v>
      </c>
      <c r="B13" s="79"/>
      <c r="C13" s="87"/>
      <c r="E13" s="61" t="s">
        <v>1</v>
      </c>
      <c r="F13" s="71"/>
      <c r="G13" s="71"/>
      <c r="H13" s="874"/>
      <c r="I13" s="878">
        <f>G14/8760</f>
        <v>0.13698630136986301</v>
      </c>
      <c r="K13" s="891" t="s">
        <v>518</v>
      </c>
      <c r="L13" s="892"/>
      <c r="M13" s="280"/>
      <c r="N13" s="893"/>
      <c r="O13" s="894"/>
      <c r="P13" s="895"/>
      <c r="R13" s="64" t="s">
        <v>44</v>
      </c>
      <c r="S13" s="71"/>
      <c r="T13" s="71"/>
      <c r="U13" s="145">
        <f>$C$8/'Book Income Statement'!$E$77</f>
        <v>23.598275424897057</v>
      </c>
    </row>
    <row r="14" spans="1:21" ht="24">
      <c r="A14" s="94" t="s">
        <v>106</v>
      </c>
      <c r="B14" s="79"/>
      <c r="C14" s="87"/>
      <c r="E14" s="61" t="s">
        <v>99</v>
      </c>
      <c r="F14" s="71"/>
      <c r="G14" s="81">
        <v>1200</v>
      </c>
      <c r="H14" s="85" t="s">
        <v>341</v>
      </c>
      <c r="I14" s="91">
        <v>0</v>
      </c>
      <c r="K14" s="64"/>
      <c r="L14" s="932" t="s">
        <v>519</v>
      </c>
      <c r="M14" s="933" t="s">
        <v>520</v>
      </c>
      <c r="N14" s="934" t="s">
        <v>521</v>
      </c>
      <c r="O14" s="935" t="s">
        <v>540</v>
      </c>
      <c r="P14" s="885" t="s">
        <v>522</v>
      </c>
      <c r="R14" s="64" t="s">
        <v>46</v>
      </c>
      <c r="S14" s="71"/>
      <c r="T14" s="71"/>
      <c r="U14" s="113">
        <v>30</v>
      </c>
    </row>
    <row r="15" spans="1:21">
      <c r="A15" s="61" t="s">
        <v>344</v>
      </c>
      <c r="B15" s="79"/>
      <c r="C15" s="319">
        <v>142064.94</v>
      </c>
      <c r="E15" s="61" t="s">
        <v>16</v>
      </c>
      <c r="F15" s="71"/>
      <c r="G15" s="71"/>
      <c r="H15" s="81"/>
      <c r="I15" s="93">
        <v>20</v>
      </c>
      <c r="K15" s="72" t="s">
        <v>303</v>
      </c>
      <c r="L15" s="896">
        <v>120</v>
      </c>
      <c r="M15" s="897">
        <f>N15/(I8)</f>
        <v>1874</v>
      </c>
      <c r="N15" s="897">
        <f>VLOOKUP(L15,Main_Table,2)</f>
        <v>14992</v>
      </c>
      <c r="O15" s="75">
        <f>Main_Start*L15/1000</f>
        <v>1799.04</v>
      </c>
      <c r="P15" s="898">
        <v>0.03</v>
      </c>
      <c r="R15" s="64" t="s">
        <v>47</v>
      </c>
      <c r="S15" s="71"/>
      <c r="T15" s="71"/>
      <c r="U15" s="201">
        <v>0.1</v>
      </c>
    </row>
    <row r="16" spans="1:21">
      <c r="A16" s="61" t="s">
        <v>343</v>
      </c>
      <c r="B16" s="79"/>
      <c r="C16" s="319">
        <v>5916.0479999999998</v>
      </c>
      <c r="E16" s="61" t="s">
        <v>20</v>
      </c>
      <c r="F16" s="71"/>
      <c r="G16" s="95">
        <v>36678</v>
      </c>
      <c r="H16" s="71" t="s">
        <v>326</v>
      </c>
      <c r="I16" s="96">
        <f>(MONTH(StartDate)+1)/12</f>
        <v>0.58333333333333337</v>
      </c>
      <c r="K16" s="72" t="s">
        <v>523</v>
      </c>
      <c r="L16" s="896">
        <v>120</v>
      </c>
      <c r="M16" s="899">
        <f>N16/I8</f>
        <v>0</v>
      </c>
      <c r="N16" s="899">
        <f>VLOOKUP(L16,Main_Table,3)</f>
        <v>0</v>
      </c>
      <c r="O16" s="77">
        <f>Fuel_Start*L16/1000</f>
        <v>0</v>
      </c>
      <c r="P16" s="900"/>
      <c r="R16" s="97" t="s">
        <v>328</v>
      </c>
      <c r="S16" s="103"/>
      <c r="T16" s="103"/>
      <c r="U16" s="944">
        <v>1.3490953938988963E-2</v>
      </c>
    </row>
    <row r="17" spans="1:23">
      <c r="A17" s="61" t="s">
        <v>487</v>
      </c>
      <c r="B17" s="79"/>
      <c r="C17" s="319">
        <v>9479.08</v>
      </c>
      <c r="E17" s="61" t="s">
        <v>355</v>
      </c>
      <c r="F17" s="71"/>
      <c r="G17" s="95">
        <v>43981</v>
      </c>
      <c r="H17" s="71"/>
      <c r="I17" s="96"/>
      <c r="K17" s="901"/>
      <c r="L17" s="102"/>
      <c r="M17" s="902">
        <f>SUM(M15:M16)</f>
        <v>1874</v>
      </c>
      <c r="N17" s="902">
        <f>SUM(N15:N16)</f>
        <v>14992</v>
      </c>
      <c r="O17" s="931">
        <f>SUM(O15:O16)</f>
        <v>1799.04</v>
      </c>
      <c r="P17" s="882"/>
    </row>
    <row r="18" spans="1:23" ht="15.75">
      <c r="A18" s="61" t="s">
        <v>658</v>
      </c>
      <c r="B18" s="79"/>
      <c r="C18" s="319">
        <v>940.2</v>
      </c>
      <c r="E18" s="97" t="s">
        <v>116</v>
      </c>
      <c r="F18" s="98" t="s">
        <v>282</v>
      </c>
      <c r="G18" s="271">
        <f>C59/I10</f>
        <v>420.31050822368422</v>
      </c>
      <c r="H18" s="98" t="s">
        <v>283</v>
      </c>
      <c r="I18" s="272">
        <f>(C59-C48)/I10</f>
        <v>420.31050822368422</v>
      </c>
      <c r="K18" s="71"/>
      <c r="L18" s="71"/>
      <c r="M18" s="71"/>
      <c r="N18" s="71"/>
      <c r="O18" s="71"/>
      <c r="P18" s="243"/>
      <c r="R18" s="279" t="s">
        <v>432</v>
      </c>
      <c r="S18" s="268"/>
      <c r="T18" s="268"/>
      <c r="U18" s="269"/>
      <c r="V18"/>
    </row>
    <row r="19" spans="1:23" ht="15.75">
      <c r="A19" s="61" t="s">
        <v>666</v>
      </c>
      <c r="B19" s="79"/>
      <c r="C19" s="319">
        <v>2824.8</v>
      </c>
      <c r="E19" s="105"/>
      <c r="G19" s="106"/>
      <c r="H19" s="107"/>
      <c r="I19" s="108"/>
      <c r="K19" s="278" t="s">
        <v>543</v>
      </c>
      <c r="L19" s="280"/>
      <c r="M19" s="280"/>
      <c r="N19" s="282"/>
      <c r="O19" s="283"/>
      <c r="P19" s="284"/>
      <c r="R19" s="64"/>
      <c r="S19" s="71"/>
      <c r="T19" s="71"/>
      <c r="U19" s="87"/>
      <c r="V19"/>
    </row>
    <row r="20" spans="1:23" ht="15.75">
      <c r="A20" s="61" t="s">
        <v>667</v>
      </c>
      <c r="B20" s="79"/>
      <c r="C20" s="319">
        <v>3066.7</v>
      </c>
      <c r="E20" s="278" t="s">
        <v>563</v>
      </c>
      <c r="F20" s="953"/>
      <c r="G20" s="954"/>
      <c r="H20" s="953"/>
      <c r="I20" s="955"/>
      <c r="K20" s="72" t="s">
        <v>319</v>
      </c>
      <c r="L20" s="83"/>
      <c r="M20" s="83"/>
      <c r="N20" s="868">
        <v>727</v>
      </c>
      <c r="O20" s="89"/>
      <c r="P20" s="880">
        <f>AVERAGE('Book Income Statement'!E39:H39)</f>
        <v>806.68099647152485</v>
      </c>
      <c r="R20" s="64" t="s">
        <v>419</v>
      </c>
      <c r="S20" s="71"/>
      <c r="T20" s="71"/>
      <c r="U20" s="965" t="str">
        <f>IF(ABS(SUM(BS!D39:X39))&gt;0.1,"NO !!!!!!!","YES")</f>
        <v>YES</v>
      </c>
      <c r="V20"/>
    </row>
    <row r="21" spans="1:23" ht="12.75">
      <c r="A21" s="61" t="s">
        <v>668</v>
      </c>
      <c r="B21" s="79"/>
      <c r="C21" s="316">
        <v>46656.593999999997</v>
      </c>
      <c r="E21" s="64" t="s">
        <v>564</v>
      </c>
      <c r="F21" s="89">
        <f>VariableMwh</f>
        <v>0.8627741228070176</v>
      </c>
      <c r="G21" s="956" t="s">
        <v>566</v>
      </c>
      <c r="H21" s="71"/>
      <c r="I21" s="957">
        <v>0.03</v>
      </c>
      <c r="K21" s="72" t="s">
        <v>320</v>
      </c>
      <c r="L21" s="83"/>
      <c r="M21" s="83"/>
      <c r="N21" s="868">
        <v>270</v>
      </c>
      <c r="O21" s="71"/>
      <c r="P21" s="880">
        <f>AVERAGE('Book Income Statement'!E40:H40)</f>
        <v>299.59266719024998</v>
      </c>
      <c r="R21" s="64" t="s">
        <v>434</v>
      </c>
      <c r="S21" s="71"/>
      <c r="T21" s="71"/>
      <c r="U21" s="90">
        <f>Depreciation!B15</f>
        <v>252666.54500000001</v>
      </c>
      <c r="V21"/>
    </row>
    <row r="22" spans="1:23" ht="12.75">
      <c r="A22" s="61" t="s">
        <v>669</v>
      </c>
      <c r="B22" s="79"/>
      <c r="C22" s="316">
        <v>3355.857</v>
      </c>
      <c r="E22" s="64" t="s">
        <v>567</v>
      </c>
      <c r="F22" s="1010">
        <f>M17</f>
        <v>1874</v>
      </c>
      <c r="G22" s="956" t="s">
        <v>568</v>
      </c>
      <c r="H22" s="71"/>
      <c r="I22" s="87"/>
      <c r="K22" s="72" t="s">
        <v>502</v>
      </c>
      <c r="L22" s="83"/>
      <c r="M22" s="83"/>
      <c r="N22" s="869">
        <f>NetMW/2890*1000</f>
        <v>210.38062283737025</v>
      </c>
      <c r="O22" s="71"/>
      <c r="P22" s="880">
        <f>AVERAGE('Book Income Statement'!E41:H41)</f>
        <v>233.43885896664358</v>
      </c>
      <c r="R22" s="65" t="s">
        <v>435</v>
      </c>
      <c r="S22" s="71"/>
      <c r="T22" s="71"/>
      <c r="U22" s="966">
        <f>C59</f>
        <v>255548.78900000002</v>
      </c>
      <c r="V22"/>
    </row>
    <row r="23" spans="1:23" ht="12.75">
      <c r="A23" s="61" t="s">
        <v>670</v>
      </c>
      <c r="B23" s="79"/>
      <c r="C23" s="316">
        <v>12328.422</v>
      </c>
      <c r="E23" s="97" t="s">
        <v>631</v>
      </c>
      <c r="F23" s="1011">
        <v>1</v>
      </c>
      <c r="G23" s="271" t="s">
        <v>360</v>
      </c>
      <c r="H23" s="103" t="s">
        <v>632</v>
      </c>
      <c r="I23" s="1012">
        <v>0.02</v>
      </c>
      <c r="K23" s="72" t="s">
        <v>619</v>
      </c>
      <c r="L23" s="1006">
        <v>7.0000000000000007E-2</v>
      </c>
      <c r="M23" s="83" t="s">
        <v>620</v>
      </c>
      <c r="N23" s="1007">
        <f>L23*(ISO_NetMW*(1-$F$11)*12)</f>
        <v>548.16888000000006</v>
      </c>
      <c r="O23" s="71"/>
      <c r="P23" s="880">
        <f>AVERAGE('Book Income Statement'!E42:H42)</f>
        <v>221.09478160000003</v>
      </c>
      <c r="R23" s="64" t="s">
        <v>436</v>
      </c>
      <c r="S23" s="71"/>
      <c r="T23" s="71"/>
      <c r="U23" s="967">
        <f>U22-U21</f>
        <v>2882.2440000000061</v>
      </c>
      <c r="V23"/>
    </row>
    <row r="24" spans="1:23" ht="15">
      <c r="A24" s="64" t="s">
        <v>346</v>
      </c>
      <c r="B24" s="79"/>
      <c r="C24" s="317">
        <v>1253.8810000000001</v>
      </c>
      <c r="E24" s="105"/>
      <c r="G24" s="106"/>
      <c r="H24" s="107"/>
      <c r="I24" s="108"/>
      <c r="K24" s="64" t="s">
        <v>501</v>
      </c>
      <c r="L24" s="71"/>
      <c r="M24" s="71"/>
      <c r="N24" s="870">
        <v>250</v>
      </c>
      <c r="O24" s="71"/>
      <c r="P24" s="881">
        <f>AVERAGE('Book Income Statement'!E43:H43)</f>
        <v>277.40061776874995</v>
      </c>
      <c r="R24" s="64" t="s">
        <v>591</v>
      </c>
      <c r="S24" s="71"/>
      <c r="T24" s="71"/>
      <c r="U24" s="968">
        <f>C48+C25</f>
        <v>2305.8180000000002</v>
      </c>
      <c r="V24"/>
    </row>
    <row r="25" spans="1:23" ht="15.75">
      <c r="A25" s="61" t="s">
        <v>117</v>
      </c>
      <c r="B25" s="79"/>
      <c r="C25" s="316">
        <v>2305.8180000000002</v>
      </c>
      <c r="E25" s="267" t="s">
        <v>262</v>
      </c>
      <c r="F25" s="268"/>
      <c r="G25" s="268"/>
      <c r="H25" s="268"/>
      <c r="I25" s="273"/>
      <c r="K25" s="99" t="s">
        <v>321</v>
      </c>
      <c r="L25" s="100"/>
      <c r="M25" s="101"/>
      <c r="N25" s="102">
        <f>SUM(N20:N24)</f>
        <v>2005.5495028373703</v>
      </c>
      <c r="O25" s="103"/>
      <c r="P25" s="882">
        <f>AVERAGE('Book Income Statement'!E44:H44)</f>
        <v>1838.2079219971683</v>
      </c>
      <c r="R25" s="64"/>
      <c r="S25" s="71"/>
      <c r="T25" s="71"/>
      <c r="U25" s="969"/>
      <c r="V25"/>
    </row>
    <row r="26" spans="1:23" ht="12.75">
      <c r="A26" s="61" t="s">
        <v>689</v>
      </c>
      <c r="B26" s="79"/>
      <c r="C26" s="316">
        <f>1000+216.382</f>
        <v>1216.3820000000001</v>
      </c>
      <c r="E26" s="112" t="s">
        <v>356</v>
      </c>
      <c r="F26" s="1013">
        <v>3</v>
      </c>
      <c r="G26" s="71" t="s">
        <v>633</v>
      </c>
      <c r="H26" s="71" t="s">
        <v>634</v>
      </c>
      <c r="I26" s="113">
        <v>5</v>
      </c>
      <c r="K26" s="109"/>
      <c r="L26" s="67"/>
      <c r="M26" s="67"/>
      <c r="N26" s="110"/>
      <c r="P26" s="111"/>
      <c r="Q26" s="16"/>
      <c r="R26" s="97"/>
      <c r="S26" s="103"/>
      <c r="T26" s="103"/>
      <c r="U26" s="208"/>
      <c r="V26"/>
      <c r="W26"/>
    </row>
    <row r="27" spans="1:23" ht="15.75">
      <c r="A27" s="64" t="s">
        <v>232</v>
      </c>
      <c r="B27" s="71"/>
      <c r="C27" s="317">
        <v>6500</v>
      </c>
      <c r="E27" s="112" t="s">
        <v>158</v>
      </c>
      <c r="F27" s="71"/>
      <c r="G27" s="71"/>
      <c r="H27" s="71"/>
      <c r="I27" s="115">
        <f>I10</f>
        <v>608</v>
      </c>
      <c r="K27" s="278" t="s">
        <v>467</v>
      </c>
      <c r="L27" s="268"/>
      <c r="M27" s="268"/>
      <c r="N27" s="268"/>
      <c r="O27" s="268"/>
      <c r="P27" s="284"/>
      <c r="V27"/>
      <c r="W27"/>
    </row>
    <row r="28" spans="1:23" ht="23.25" customHeight="1">
      <c r="A28" s="64" t="s">
        <v>172</v>
      </c>
      <c r="B28" s="118">
        <v>0.06</v>
      </c>
      <c r="C28" s="318">
        <v>500</v>
      </c>
      <c r="E28" s="116" t="s">
        <v>139</v>
      </c>
      <c r="F28" s="117"/>
      <c r="G28" s="117"/>
      <c r="H28" s="117"/>
      <c r="I28" s="63">
        <f>AnnualHours</f>
        <v>1200</v>
      </c>
      <c r="K28" s="88"/>
      <c r="L28" s="71"/>
      <c r="M28" s="929" t="s">
        <v>378</v>
      </c>
      <c r="N28" s="930">
        <v>1999</v>
      </c>
      <c r="O28" s="71"/>
      <c r="P28" s="90"/>
      <c r="V28"/>
      <c r="W28"/>
    </row>
    <row r="29" spans="1:23" ht="12.75">
      <c r="A29" s="61" t="s">
        <v>539</v>
      </c>
      <c r="B29" s="79"/>
      <c r="C29" s="315">
        <v>1500</v>
      </c>
      <c r="E29" s="116" t="s">
        <v>325</v>
      </c>
      <c r="F29" s="117"/>
      <c r="G29" s="117"/>
      <c r="H29" s="117"/>
      <c r="I29" s="119">
        <v>4</v>
      </c>
      <c r="K29" s="114" t="s">
        <v>241</v>
      </c>
      <c r="L29" s="71"/>
      <c r="M29" s="83"/>
      <c r="N29" s="936"/>
      <c r="O29" s="71"/>
      <c r="P29" s="879" t="s">
        <v>513</v>
      </c>
      <c r="V29"/>
      <c r="W29"/>
    </row>
    <row r="30" spans="1:23" ht="12.75">
      <c r="A30" s="61"/>
      <c r="B30" s="122"/>
      <c r="C30" s="1033">
        <f>SUM(C15:C29)</f>
        <v>239908.72200000001</v>
      </c>
      <c r="E30" s="116" t="s">
        <v>260</v>
      </c>
      <c r="F30" s="117"/>
      <c r="G30" s="117"/>
      <c r="H30" s="117"/>
      <c r="I30" s="120">
        <v>0</v>
      </c>
      <c r="K30" s="72" t="s">
        <v>131</v>
      </c>
      <c r="L30" s="71"/>
      <c r="M30" s="71"/>
      <c r="N30" s="869">
        <v>70</v>
      </c>
      <c r="O30" s="71"/>
      <c r="P30" s="880"/>
      <c r="V30"/>
      <c r="W30"/>
    </row>
    <row r="31" spans="1:23" ht="12.75">
      <c r="A31" s="94" t="s">
        <v>107</v>
      </c>
      <c r="B31" s="79"/>
      <c r="C31" s="247"/>
      <c r="E31" s="97" t="s">
        <v>313</v>
      </c>
      <c r="F31" s="103"/>
      <c r="G31" s="103"/>
      <c r="H31" s="103"/>
      <c r="I31" s="123">
        <v>0.03</v>
      </c>
      <c r="K31" s="72" t="s">
        <v>322</v>
      </c>
      <c r="L31" s="71"/>
      <c r="M31" s="71"/>
      <c r="N31" s="869">
        <v>0</v>
      </c>
      <c r="O31" s="71"/>
      <c r="P31" s="880"/>
      <c r="V31"/>
      <c r="W31"/>
    </row>
    <row r="32" spans="1:23" ht="14.25">
      <c r="A32" s="61" t="s">
        <v>284</v>
      </c>
      <c r="B32" s="79"/>
      <c r="C32" s="246">
        <v>0</v>
      </c>
      <c r="K32" s="72" t="s">
        <v>323</v>
      </c>
      <c r="L32" s="71"/>
      <c r="M32" s="71"/>
      <c r="N32" s="870">
        <v>221</v>
      </c>
      <c r="O32" s="71"/>
      <c r="P32" s="881"/>
    </row>
    <row r="33" spans="1:16" ht="15.75">
      <c r="A33" s="61" t="s">
        <v>339</v>
      </c>
      <c r="B33" s="124"/>
      <c r="C33" s="317">
        <v>908.78599999999994</v>
      </c>
      <c r="E33" s="267" t="s">
        <v>19</v>
      </c>
      <c r="F33" s="275"/>
      <c r="G33" s="268"/>
      <c r="H33" s="268"/>
      <c r="I33" s="269"/>
      <c r="K33" s="72" t="s">
        <v>242</v>
      </c>
      <c r="L33" s="83"/>
      <c r="M33" s="121"/>
      <c r="N33" s="937">
        <f>SUM(N30:N32)</f>
        <v>291</v>
      </c>
      <c r="O33" s="71"/>
      <c r="P33" s="880">
        <f>AVERAGE('Book Income Statement'!E47:H47)</f>
        <v>322.89431908282501</v>
      </c>
    </row>
    <row r="34" spans="1:16">
      <c r="A34" s="61" t="s">
        <v>280</v>
      </c>
      <c r="B34" s="79"/>
      <c r="C34" s="316">
        <v>349.95499999999998</v>
      </c>
      <c r="E34" s="64" t="s">
        <v>267</v>
      </c>
      <c r="F34" s="71"/>
      <c r="G34" s="71"/>
      <c r="H34" s="71"/>
      <c r="I34" s="125" t="s">
        <v>650</v>
      </c>
      <c r="K34" s="72" t="s">
        <v>595</v>
      </c>
      <c r="L34" s="83"/>
      <c r="M34" s="83"/>
      <c r="N34" s="938">
        <v>64.400000000000006</v>
      </c>
      <c r="O34" s="71"/>
      <c r="P34" s="880">
        <f>AVERAGE('Book Income Statement'!E48:H48)</f>
        <v>71.458399137230003</v>
      </c>
    </row>
    <row r="35" spans="1:16">
      <c r="A35" s="64" t="s">
        <v>279</v>
      </c>
      <c r="B35" s="126"/>
      <c r="C35" s="316">
        <v>266.24900000000002</v>
      </c>
      <c r="E35" s="64"/>
      <c r="F35" s="71"/>
      <c r="G35" s="71"/>
      <c r="H35" s="71"/>
      <c r="I35" s="87"/>
      <c r="K35" s="72" t="s">
        <v>596</v>
      </c>
      <c r="L35" s="83"/>
      <c r="M35" s="83"/>
      <c r="N35" s="938">
        <v>286</v>
      </c>
      <c r="O35" s="71"/>
      <c r="P35" s="880">
        <f>AVERAGE('Book Income Statement'!E49:H49)</f>
        <v>317.34630672744998</v>
      </c>
    </row>
    <row r="36" spans="1:16">
      <c r="A36" s="61" t="s">
        <v>281</v>
      </c>
      <c r="B36" s="126"/>
      <c r="C36" s="316">
        <v>177.39599999999999</v>
      </c>
      <c r="E36" s="64"/>
      <c r="F36" s="127" t="s">
        <v>111</v>
      </c>
      <c r="G36" s="127" t="s">
        <v>114</v>
      </c>
      <c r="H36" s="127" t="s">
        <v>187</v>
      </c>
      <c r="I36" s="128" t="s">
        <v>188</v>
      </c>
      <c r="K36" s="64" t="s">
        <v>9</v>
      </c>
      <c r="L36" s="71"/>
      <c r="M36" s="71"/>
      <c r="N36" s="869">
        <v>100</v>
      </c>
      <c r="O36" s="71"/>
      <c r="P36" s="880">
        <f>AVERAGE('Book Income Statement'!E50:H50)</f>
        <v>110.96024710749998</v>
      </c>
    </row>
    <row r="37" spans="1:16">
      <c r="A37" s="61" t="s">
        <v>675</v>
      </c>
      <c r="B37" s="79"/>
      <c r="C37" s="316">
        <v>299.52499999999998</v>
      </c>
      <c r="E37" s="78" t="s">
        <v>189</v>
      </c>
      <c r="F37" s="129">
        <f>IF($I$34="Normal",'Debt Amortization'!B19,0)</f>
        <v>0</v>
      </c>
      <c r="G37" s="130">
        <f>IF($I$34="Normal",'Debt Amortization'!B20,0)</f>
        <v>0</v>
      </c>
      <c r="H37" s="130">
        <f>IF($I$34="Normal",'Debt Amortization'!B21,0)</f>
        <v>0</v>
      </c>
      <c r="I37" s="131">
        <f>SUM(F37:H37)</f>
        <v>0</v>
      </c>
      <c r="K37" s="64" t="s">
        <v>478</v>
      </c>
      <c r="L37" s="71"/>
      <c r="M37" s="71"/>
      <c r="N37" s="869">
        <v>30</v>
      </c>
      <c r="O37" s="71"/>
      <c r="P37" s="880">
        <f>AVERAGE('Book Income Statement'!E51:H51)</f>
        <v>33.288074132250003</v>
      </c>
    </row>
    <row r="38" spans="1:16" ht="14.25">
      <c r="A38" s="61" t="s">
        <v>338</v>
      </c>
      <c r="B38" s="79"/>
      <c r="C38" s="317">
        <v>503.63900000000001</v>
      </c>
      <c r="E38" s="78" t="s">
        <v>612</v>
      </c>
      <c r="F38" s="990">
        <v>29573</v>
      </c>
      <c r="G38" s="991">
        <v>54410</v>
      </c>
      <c r="H38" s="991">
        <v>98814</v>
      </c>
      <c r="I38" s="131">
        <f>SUM(F38:H38)</f>
        <v>182797</v>
      </c>
      <c r="K38" s="64" t="s">
        <v>8</v>
      </c>
      <c r="L38" s="71"/>
      <c r="M38" s="71"/>
      <c r="N38" s="870">
        <v>75</v>
      </c>
      <c r="O38" s="71"/>
      <c r="P38" s="881">
        <f>AVERAGE('Book Income Statement'!E52:H52)</f>
        <v>83.220185330624986</v>
      </c>
    </row>
    <row r="39" spans="1:16">
      <c r="A39" s="61" t="s">
        <v>340</v>
      </c>
      <c r="B39" s="124"/>
      <c r="C39" s="316">
        <v>246.75200000000001</v>
      </c>
      <c r="E39" s="78" t="s">
        <v>190</v>
      </c>
      <c r="F39" s="134">
        <f>IF(I34="Normal",3,4)</f>
        <v>4</v>
      </c>
      <c r="G39" s="135">
        <f>IF(I34="Normal",20,10)</f>
        <v>10</v>
      </c>
      <c r="H39" s="135">
        <f>IF(I34="Normal",0,20)</f>
        <v>20</v>
      </c>
      <c r="I39" s="87">
        <f>MAX(F39,G39,H39)</f>
        <v>20</v>
      </c>
      <c r="K39" s="82" t="s">
        <v>324</v>
      </c>
      <c r="L39" s="71"/>
      <c r="M39" s="71"/>
      <c r="N39" s="883">
        <f>SUM(N33:N38)</f>
        <v>846.4</v>
      </c>
      <c r="O39" s="884"/>
      <c r="P39" s="885">
        <f>SUM(P34:P38)</f>
        <v>616.27321243505492</v>
      </c>
    </row>
    <row r="40" spans="1:16">
      <c r="A40" s="61" t="s">
        <v>661</v>
      </c>
      <c r="B40" s="124"/>
      <c r="C40" s="316">
        <v>276.90100000000001</v>
      </c>
      <c r="E40" s="137" t="s">
        <v>207</v>
      </c>
      <c r="F40" s="138">
        <f>IF(I34="Normal",7.75%,6.73%)</f>
        <v>6.7299999999999999E-2</v>
      </c>
      <c r="G40" s="138">
        <f>IF(I34="Normal",8%,7.57%)</f>
        <v>7.5700000000000003E-2</v>
      </c>
      <c r="H40" s="138">
        <f>IF(I34="Normal",0,8.18%)</f>
        <v>8.1799999999999998E-2</v>
      </c>
      <c r="I40" s="139">
        <f>IF(I34="Normal",F40*($F$37/$I$37)+G40*($G$37/$I$37)+H40*($H$37/$I$37),_Int1*(principal1/I38)+_Int2*(principal2/I38)+_Int3*(principal3/I38))</f>
        <v>7.7638501178903363E-2</v>
      </c>
      <c r="K40" s="64"/>
      <c r="L40" s="71"/>
      <c r="M40" s="71"/>
      <c r="N40" s="71"/>
      <c r="O40" s="71"/>
      <c r="P40" s="90"/>
    </row>
    <row r="41" spans="1:16">
      <c r="A41" s="64" t="s">
        <v>61</v>
      </c>
      <c r="B41" s="126"/>
      <c r="C41" s="1028">
        <v>0</v>
      </c>
      <c r="E41" s="78" t="s">
        <v>191</v>
      </c>
      <c r="F41" s="141">
        <v>1.5</v>
      </c>
      <c r="G41" s="141">
        <v>2.5</v>
      </c>
      <c r="H41" s="142">
        <v>2.5</v>
      </c>
      <c r="I41" s="143">
        <f>IF(I34="Normal",F41*($F$37/$I$37)+G41*($G$37/$I$37)+H41*($H$37/$I$37),F41*(principal1/I38)+G41*(principal2/I38)+H41*principal3/I38)</f>
        <v>2.3382194456145342</v>
      </c>
      <c r="K41" s="132" t="s">
        <v>21</v>
      </c>
      <c r="L41" s="83"/>
      <c r="M41" s="83"/>
      <c r="N41" s="133">
        <v>0.03</v>
      </c>
      <c r="O41" s="71"/>
      <c r="P41" s="90"/>
    </row>
    <row r="42" spans="1:16">
      <c r="A42" s="64"/>
      <c r="B42" s="71"/>
      <c r="C42" s="1034">
        <f>SUM(C32:C41)</f>
        <v>3029.203</v>
      </c>
      <c r="E42" s="61" t="s">
        <v>231</v>
      </c>
      <c r="F42" s="71"/>
      <c r="G42" s="144" t="s">
        <v>271</v>
      </c>
      <c r="H42" s="144"/>
      <c r="I42" s="145"/>
      <c r="K42" s="136" t="s">
        <v>22</v>
      </c>
      <c r="L42" s="100"/>
      <c r="M42" s="100"/>
      <c r="N42" s="101">
        <v>0.03</v>
      </c>
      <c r="O42" s="103"/>
      <c r="P42" s="104"/>
    </row>
    <row r="43" spans="1:16" ht="26.25" customHeight="1">
      <c r="A43" s="64"/>
      <c r="B43" s="71"/>
      <c r="C43" s="248"/>
      <c r="E43" s="148" t="s">
        <v>212</v>
      </c>
      <c r="F43" s="149" t="str">
        <f>IF(F37&gt;0,'Debt Amortization'!$E$31,"N/A")</f>
        <v>N/A</v>
      </c>
      <c r="G43" s="150" t="str">
        <f>IF(G37&gt;0,'Debt Amortization'!$E$39,"N/A")</f>
        <v>N/A</v>
      </c>
      <c r="H43" s="150" t="str">
        <f>IF(H37&gt;0,'Debt Amortization'!$E$47,"N/A")</f>
        <v>N/A</v>
      </c>
      <c r="I43" s="151">
        <f>+'Debt Amortization'!E56</f>
        <v>10.9412871108388</v>
      </c>
      <c r="K43" s="67"/>
      <c r="L43" s="67"/>
      <c r="M43" s="67"/>
      <c r="N43" s="140"/>
      <c r="P43" s="111"/>
    </row>
    <row r="44" spans="1:16" ht="15.75">
      <c r="A44" s="94" t="s">
        <v>108</v>
      </c>
      <c r="B44" s="79"/>
      <c r="C44" s="248"/>
      <c r="E44" s="105"/>
      <c r="I44" s="154"/>
      <c r="K44" s="285" t="s">
        <v>468</v>
      </c>
      <c r="L44" s="286"/>
      <c r="M44" s="286"/>
      <c r="N44" s="287"/>
      <c r="O44" s="268"/>
      <c r="P44" s="284"/>
    </row>
    <row r="45" spans="1:16" ht="15.75">
      <c r="A45" s="61" t="s">
        <v>227</v>
      </c>
      <c r="B45" s="79"/>
      <c r="C45" s="246">
        <v>0</v>
      </c>
      <c r="E45" s="267" t="s">
        <v>261</v>
      </c>
      <c r="F45" s="268"/>
      <c r="G45" s="268"/>
      <c r="H45" s="268"/>
      <c r="I45" s="276"/>
      <c r="K45" s="64"/>
      <c r="L45" s="871" t="s">
        <v>512</v>
      </c>
      <c r="M45" s="146"/>
      <c r="N45" s="147"/>
      <c r="O45" s="71"/>
      <c r="P45" s="879" t="s">
        <v>513</v>
      </c>
    </row>
    <row r="46" spans="1:16">
      <c r="A46" s="61" t="s">
        <v>64</v>
      </c>
      <c r="B46" s="79"/>
      <c r="C46" s="246">
        <v>0</v>
      </c>
      <c r="E46" s="78" t="s">
        <v>228</v>
      </c>
      <c r="F46" s="71"/>
      <c r="G46" s="71"/>
      <c r="H46" s="71"/>
      <c r="I46" s="155" t="s">
        <v>5</v>
      </c>
      <c r="K46" s="132" t="s">
        <v>545</v>
      </c>
      <c r="L46" s="949">
        <f>L11</f>
        <v>629.48</v>
      </c>
      <c r="M46" s="79" t="s">
        <v>359</v>
      </c>
      <c r="N46" s="948">
        <f>L46/AnnualHours/NetMW*1000</f>
        <v>0.86277412280701771</v>
      </c>
      <c r="O46" s="153" t="s">
        <v>360</v>
      </c>
      <c r="P46" s="886">
        <f>AVERAGE('PPA Assumptions &amp;Summary'!D58:G58)</f>
        <v>0.95733629864623215</v>
      </c>
    </row>
    <row r="47" spans="1:16">
      <c r="A47" s="61" t="s">
        <v>347</v>
      </c>
      <c r="B47" s="158"/>
      <c r="C47" s="316">
        <v>0</v>
      </c>
      <c r="E47" s="78" t="s">
        <v>229</v>
      </c>
      <c r="F47" s="71"/>
      <c r="G47" s="71"/>
      <c r="H47" s="71"/>
      <c r="I47" s="156">
        <f>0.5*'Returns Summary'!$D$23</f>
        <v>10543.8846875</v>
      </c>
      <c r="K47" s="132"/>
      <c r="L47" s="75"/>
      <c r="M47" s="71"/>
      <c r="N47" s="152"/>
      <c r="O47" s="153"/>
      <c r="P47" s="90"/>
    </row>
    <row r="48" spans="1:16" ht="14.25">
      <c r="A48" s="64" t="s">
        <v>60</v>
      </c>
      <c r="B48" s="126"/>
      <c r="C48" s="163">
        <f>+IF(I46="Financing", I47, 0)</f>
        <v>0</v>
      </c>
      <c r="E48" s="159" t="s">
        <v>230</v>
      </c>
      <c r="F48" s="103"/>
      <c r="G48" s="160"/>
      <c r="H48" s="103"/>
      <c r="I48" s="161">
        <v>0</v>
      </c>
      <c r="K48" s="132" t="s">
        <v>303</v>
      </c>
      <c r="L48" s="897">
        <f>Main_Start*L15/1000</f>
        <v>1799.04</v>
      </c>
      <c r="M48" s="79" t="s">
        <v>359</v>
      </c>
      <c r="N48" s="897">
        <f>L48/L15*1000</f>
        <v>14992</v>
      </c>
      <c r="O48" s="153" t="s">
        <v>542</v>
      </c>
      <c r="P48" s="880">
        <f>AVERAGE('Book Income Statement'!E34:H34)/L15*1000</f>
        <v>16635.160246356398</v>
      </c>
    </row>
    <row r="49" spans="1:16">
      <c r="A49" s="64"/>
      <c r="B49" s="79"/>
      <c r="C49" s="63">
        <f>SUM(C45:C48)</f>
        <v>0</v>
      </c>
      <c r="E49" s="66" t="s">
        <v>140</v>
      </c>
      <c r="K49" s="132" t="s">
        <v>523</v>
      </c>
      <c r="L49" s="899">
        <f>O16</f>
        <v>0</v>
      </c>
      <c r="M49" s="79" t="s">
        <v>359</v>
      </c>
      <c r="N49" s="899">
        <f>L49/L16*1000</f>
        <v>0</v>
      </c>
      <c r="O49" s="153" t="s">
        <v>542</v>
      </c>
      <c r="P49" s="881">
        <f>AVERAGE('Book Income Statement'!E35:H35)/L16*1000</f>
        <v>0</v>
      </c>
    </row>
    <row r="50" spans="1:16" ht="15.75">
      <c r="A50" s="64"/>
      <c r="B50" s="79"/>
      <c r="C50" s="63"/>
      <c r="E50" s="267" t="s">
        <v>45</v>
      </c>
      <c r="F50" s="268"/>
      <c r="G50" s="268"/>
      <c r="H50" s="268"/>
      <c r="I50" s="269"/>
      <c r="K50" s="132"/>
      <c r="L50" s="947">
        <f>SUM(L48:L49)</f>
        <v>1799.04</v>
      </c>
      <c r="M50" s="79"/>
      <c r="N50" s="947">
        <f>SUM(N48:N49)</f>
        <v>14992</v>
      </c>
      <c r="O50" s="153"/>
      <c r="P50" s="880">
        <f>SUM(P48:P49)</f>
        <v>16635.160246356398</v>
      </c>
    </row>
    <row r="51" spans="1:16">
      <c r="A51" s="94" t="s">
        <v>109</v>
      </c>
      <c r="B51" s="126"/>
      <c r="C51" s="166"/>
      <c r="E51" s="164" t="s">
        <v>213</v>
      </c>
      <c r="F51" s="71"/>
      <c r="G51" s="71" t="s">
        <v>226</v>
      </c>
      <c r="H51" s="165" t="str">
        <f>+IF(I51=0, "", IF(OR(I51&gt;I15, I51&lt;MAX('Project Assumptions'!F39:H39)), "Error", "-"))</f>
        <v/>
      </c>
      <c r="I51" s="113"/>
      <c r="K51" s="132"/>
      <c r="L51" s="75"/>
      <c r="M51" s="79"/>
      <c r="N51" s="152"/>
      <c r="O51" s="153"/>
      <c r="P51" s="90"/>
    </row>
    <row r="52" spans="1:16" ht="14.25">
      <c r="A52" s="64" t="s">
        <v>376</v>
      </c>
      <c r="B52" s="303">
        <v>6.4000000000000001E-2</v>
      </c>
      <c r="C52" s="1038">
        <f>-6.078+12616.942</f>
        <v>12610.864</v>
      </c>
      <c r="E52" s="64"/>
      <c r="F52" s="71"/>
      <c r="G52" s="71" t="s">
        <v>225</v>
      </c>
      <c r="H52" s="71"/>
      <c r="I52" s="167"/>
      <c r="K52" s="132" t="s">
        <v>544</v>
      </c>
      <c r="L52" s="897">
        <f>Labor+Fixed+N24+N22</f>
        <v>1457.3806228373703</v>
      </c>
      <c r="M52" s="79" t="s">
        <v>359</v>
      </c>
      <c r="N52" s="152">
        <f>L52/NetMW/12</f>
        <v>0.19975063361257817</v>
      </c>
      <c r="O52" s="153" t="s">
        <v>361</v>
      </c>
      <c r="P52" s="886">
        <f>AVERAGE('Book Income Statement'!E44:H44)/NetMW/12</f>
        <v>0.25194735772987503</v>
      </c>
    </row>
    <row r="53" spans="1:16">
      <c r="A53" s="64"/>
      <c r="B53" s="170"/>
      <c r="C53" s="63">
        <f>SUM(C52:C52)</f>
        <v>12610.864</v>
      </c>
      <c r="E53" s="97"/>
      <c r="F53" s="103"/>
      <c r="G53" s="103" t="s">
        <v>7</v>
      </c>
      <c r="H53" s="103"/>
      <c r="I53" s="168"/>
      <c r="K53" s="132" t="s">
        <v>362</v>
      </c>
      <c r="L53" s="897">
        <f>N39</f>
        <v>846.4</v>
      </c>
      <c r="M53" s="79" t="s">
        <v>359</v>
      </c>
      <c r="N53" s="152">
        <f>L53/NetMW/12</f>
        <v>0.11600877192982456</v>
      </c>
      <c r="O53" s="153" t="s">
        <v>361</v>
      </c>
      <c r="P53" s="886">
        <f>AVERAGE('Book Income Statement'!E53:H53)/NetMW/12-P54</f>
        <v>8.0770080935071237E-2</v>
      </c>
    </row>
    <row r="54" spans="1:16">
      <c r="A54" s="64"/>
      <c r="B54" s="71"/>
      <c r="C54" s="87"/>
      <c r="E54" s="71"/>
      <c r="F54" s="71"/>
      <c r="G54" s="71"/>
      <c r="H54" s="71"/>
      <c r="I54" s="169"/>
      <c r="K54" s="132" t="s">
        <v>562</v>
      </c>
      <c r="L54" s="897">
        <f>'Book Income Statement'!E55/(1.03^2)</f>
        <v>329.78510794193625</v>
      </c>
      <c r="M54" s="79" t="s">
        <v>359</v>
      </c>
      <c r="N54" s="152">
        <f>L54/NetMW/12</f>
        <v>4.5200809750813635E-2</v>
      </c>
      <c r="O54" s="153" t="s">
        <v>361</v>
      </c>
      <c r="P54" s="886">
        <f>AVERAGE('Book Income Statement'!E55:H55)/NetMW/12</f>
        <v>4.7953539064638173E-2</v>
      </c>
    </row>
    <row r="55" spans="1:16" ht="15.75">
      <c r="A55" s="61" t="s">
        <v>429</v>
      </c>
      <c r="B55" s="62">
        <v>0.03</v>
      </c>
      <c r="C55" s="1030">
        <v>0</v>
      </c>
      <c r="E55" s="278" t="s">
        <v>433</v>
      </c>
      <c r="F55" s="268"/>
      <c r="G55" s="268"/>
      <c r="H55" s="268"/>
      <c r="I55" s="269"/>
      <c r="K55" s="132" t="s">
        <v>561</v>
      </c>
      <c r="L55" s="899">
        <f>'Book Income Statement'!E58/(1.03^2)</f>
        <v>68.03220190404376</v>
      </c>
      <c r="M55" s="79" t="s">
        <v>359</v>
      </c>
      <c r="N55" s="157">
        <f>L55/NetMW/12</f>
        <v>9.324589076760384E-3</v>
      </c>
      <c r="O55" s="153" t="s">
        <v>361</v>
      </c>
      <c r="P55" s="888">
        <f>AVERAGE('Book Income Statement'!E60:H60)/NetMW/12</f>
        <v>9.892456551535091E-3</v>
      </c>
    </row>
    <row r="56" spans="1:16">
      <c r="A56" s="61" t="s">
        <v>430</v>
      </c>
      <c r="B56" s="62">
        <v>0.05</v>
      </c>
      <c r="C56" s="1031">
        <v>0</v>
      </c>
      <c r="E56" s="64"/>
      <c r="F56" s="71"/>
      <c r="G56" s="71" t="s">
        <v>69</v>
      </c>
      <c r="H56" s="71"/>
      <c r="I56" s="277">
        <v>0.12</v>
      </c>
      <c r="K56" s="132"/>
      <c r="L56" s="947">
        <f>SUM(L52:L55)</f>
        <v>2701.5979326833499</v>
      </c>
      <c r="M56" s="79"/>
      <c r="N56" s="948">
        <f>SUM(N52:N55)</f>
        <v>0.37028480436997674</v>
      </c>
      <c r="O56" s="153"/>
      <c r="P56" s="886">
        <f>SUM(P52:P55)</f>
        <v>0.39056343428111956</v>
      </c>
    </row>
    <row r="57" spans="1:16">
      <c r="A57" s="61" t="s">
        <v>431</v>
      </c>
      <c r="B57" s="62"/>
      <c r="C57" s="63">
        <f>SUM(C55:C56)</f>
        <v>0</v>
      </c>
      <c r="E57" s="64"/>
      <c r="F57" s="71"/>
      <c r="G57" s="173" t="s">
        <v>17</v>
      </c>
      <c r="H57" s="71"/>
      <c r="I57" s="174" t="s">
        <v>18</v>
      </c>
      <c r="K57" s="927" t="s">
        <v>541</v>
      </c>
      <c r="L57" s="942">
        <f>L46+L50+L56</f>
        <v>5130.1179326833499</v>
      </c>
      <c r="M57" s="943" t="s">
        <v>359</v>
      </c>
      <c r="N57" s="939"/>
      <c r="O57" s="940"/>
      <c r="P57" s="941"/>
    </row>
    <row r="58" spans="1:16">
      <c r="A58" s="64"/>
      <c r="B58" s="126"/>
      <c r="C58" s="166"/>
      <c r="E58" s="175" t="s">
        <v>0</v>
      </c>
      <c r="F58" s="176"/>
      <c r="G58" s="127" t="s">
        <v>40</v>
      </c>
      <c r="H58" s="176"/>
      <c r="I58" s="128" t="s">
        <v>40</v>
      </c>
      <c r="K58" s="67"/>
      <c r="L58" s="67"/>
      <c r="M58" s="67"/>
      <c r="N58" s="140"/>
      <c r="P58" s="111"/>
    </row>
    <row r="59" spans="1:16" ht="15.75">
      <c r="A59" s="159" t="s">
        <v>59</v>
      </c>
      <c r="B59" s="180"/>
      <c r="C59" s="1009">
        <f>C30+C42+C49+C53+C57</f>
        <v>255548.78900000002</v>
      </c>
      <c r="E59" s="177">
        <v>10</v>
      </c>
      <c r="F59" s="79"/>
      <c r="G59" s="178">
        <f>'Returns Summary'!$L$8</f>
        <v>0.13387903571128848</v>
      </c>
      <c r="H59" s="69"/>
      <c r="I59" s="179">
        <f>'Returns Summary'!$L$12</f>
        <v>9.470446407794951E-2</v>
      </c>
      <c r="K59" s="267" t="s">
        <v>677</v>
      </c>
      <c r="L59" s="280"/>
      <c r="M59" s="280"/>
      <c r="N59" s="268"/>
      <c r="O59" s="268"/>
      <c r="P59" s="284"/>
    </row>
    <row r="60" spans="1:16">
      <c r="A60" s="67"/>
      <c r="B60" s="67"/>
      <c r="C60" s="67"/>
      <c r="E60" s="177">
        <v>15</v>
      </c>
      <c r="F60" s="79"/>
      <c r="G60" s="178">
        <f>'Returns Summary'!$Q$8</f>
        <v>0.19503801465034487</v>
      </c>
      <c r="H60" s="69"/>
      <c r="I60" s="179">
        <f>'Returns Summary'!$Q$12</f>
        <v>0.15898091197013861</v>
      </c>
      <c r="K60" s="97" t="s">
        <v>451</v>
      </c>
      <c r="L60" s="103"/>
      <c r="M60" s="103"/>
      <c r="N60" s="1008">
        <f>1173.34/8*0</f>
        <v>0</v>
      </c>
      <c r="O60" s="103" t="s">
        <v>588</v>
      </c>
      <c r="P60" s="208"/>
    </row>
    <row r="61" spans="1:16">
      <c r="A61" s="105"/>
      <c r="C61" s="181"/>
      <c r="E61" s="177">
        <v>20</v>
      </c>
      <c r="F61" s="79"/>
      <c r="G61" s="178">
        <f>'Returns Summary'!$W$8</f>
        <v>0.21021766066551212</v>
      </c>
      <c r="H61" s="69"/>
      <c r="I61" s="179">
        <f>'Returns Summary'!$W$12</f>
        <v>0.17221516966819764</v>
      </c>
      <c r="K61" s="109"/>
      <c r="L61" s="67"/>
      <c r="M61" s="171"/>
      <c r="N61" s="172"/>
    </row>
    <row r="62" spans="1:16" ht="15.75">
      <c r="A62" s="267" t="s">
        <v>58</v>
      </c>
      <c r="B62" s="268"/>
      <c r="C62" s="269"/>
      <c r="E62" s="177"/>
      <c r="F62" s="79"/>
      <c r="G62" s="178"/>
      <c r="H62" s="69"/>
      <c r="I62" s="179"/>
      <c r="K62" s="267" t="s">
        <v>264</v>
      </c>
      <c r="L62" s="268"/>
      <c r="M62" s="268"/>
      <c r="N62" s="268"/>
      <c r="O62" s="268"/>
      <c r="P62" s="269"/>
    </row>
    <row r="63" spans="1:16">
      <c r="A63" s="61" t="s">
        <v>196</v>
      </c>
      <c r="B63" s="71"/>
      <c r="C63" s="125" t="s">
        <v>510</v>
      </c>
      <c r="E63" s="177"/>
      <c r="F63" s="71"/>
      <c r="G63" s="182"/>
      <c r="H63" s="71"/>
      <c r="I63" s="183"/>
      <c r="K63" s="61" t="s">
        <v>193</v>
      </c>
      <c r="L63" s="71"/>
      <c r="M63" s="71"/>
      <c r="N63" s="288">
        <v>0.35</v>
      </c>
      <c r="O63" s="71"/>
      <c r="P63" s="87"/>
    </row>
    <row r="64" spans="1:16">
      <c r="A64" s="61" t="s">
        <v>239</v>
      </c>
      <c r="B64" s="71"/>
      <c r="C64" s="185">
        <v>2.5</v>
      </c>
      <c r="E64" s="64"/>
      <c r="F64" s="71"/>
      <c r="G64" s="173" t="s">
        <v>17</v>
      </c>
      <c r="H64" s="71"/>
      <c r="I64" s="174" t="s">
        <v>18</v>
      </c>
      <c r="K64" s="61" t="s">
        <v>192</v>
      </c>
      <c r="L64" s="71"/>
      <c r="M64" s="71"/>
      <c r="N64" s="292">
        <v>7.1800000000000003E-2</v>
      </c>
      <c r="O64" s="71"/>
      <c r="P64" s="87"/>
    </row>
    <row r="65" spans="1:16">
      <c r="A65" s="61" t="s">
        <v>459</v>
      </c>
      <c r="B65" s="71"/>
      <c r="C65" s="125" t="s">
        <v>184</v>
      </c>
      <c r="E65" s="175" t="s">
        <v>0</v>
      </c>
      <c r="F65" s="176"/>
      <c r="G65" s="127" t="s">
        <v>68</v>
      </c>
      <c r="H65" s="176"/>
      <c r="I65" s="128" t="s">
        <v>68</v>
      </c>
      <c r="K65" s="64" t="s">
        <v>194</v>
      </c>
      <c r="L65" s="71"/>
      <c r="M65" s="71"/>
      <c r="N65" s="289">
        <f>(1-N64)*N63+N64</f>
        <v>0.39666999999999997</v>
      </c>
      <c r="O65" s="71"/>
      <c r="P65" s="87"/>
    </row>
    <row r="66" spans="1:16">
      <c r="A66" s="61" t="s">
        <v>460</v>
      </c>
      <c r="B66" s="71"/>
      <c r="C66" s="125" t="s">
        <v>184</v>
      </c>
      <c r="E66" s="177">
        <v>10</v>
      </c>
      <c r="F66" s="79"/>
      <c r="G66" s="186">
        <f>'Returns Summary'!$L$9</f>
        <v>5978.8696233013306</v>
      </c>
      <c r="H66" s="186"/>
      <c r="I66" s="187">
        <f>'Returns Summary'!$L$13</f>
        <v>-9488.3437438572</v>
      </c>
      <c r="K66" s="61"/>
      <c r="L66" s="71"/>
      <c r="M66" s="71"/>
      <c r="N66" s="71"/>
      <c r="O66" s="71"/>
      <c r="P66" s="87"/>
    </row>
    <row r="67" spans="1:16">
      <c r="A67" s="61" t="s">
        <v>221</v>
      </c>
      <c r="B67" s="71"/>
      <c r="C67" s="125">
        <v>15</v>
      </c>
      <c r="E67" s="177">
        <v>15</v>
      </c>
      <c r="F67" s="79"/>
      <c r="G67" s="186">
        <f>'Returns Summary'!$Q$9</f>
        <v>51846.524369951738</v>
      </c>
      <c r="H67" s="186"/>
      <c r="I67" s="187">
        <f>'Returns Summary'!$Q$13</f>
        <v>23066.871740053062</v>
      </c>
      <c r="K67" s="61" t="s">
        <v>311</v>
      </c>
      <c r="L67" s="71"/>
      <c r="M67" s="71"/>
      <c r="N67" s="293">
        <v>0</v>
      </c>
      <c r="O67" s="71"/>
      <c r="P67" s="87"/>
    </row>
    <row r="68" spans="1:16">
      <c r="A68" s="61" t="s">
        <v>195</v>
      </c>
      <c r="B68" s="71"/>
      <c r="C68" s="125" t="s">
        <v>171</v>
      </c>
      <c r="E68" s="189">
        <v>20</v>
      </c>
      <c r="F68" s="162"/>
      <c r="G68" s="190">
        <f>'Returns Summary'!$W$9</f>
        <v>78518.858230403886</v>
      </c>
      <c r="H68" s="190"/>
      <c r="I68" s="191">
        <f>'Returns Summary'!$W$13</f>
        <v>36647.89551516444</v>
      </c>
      <c r="K68" s="61" t="s">
        <v>463</v>
      </c>
      <c r="L68" s="71"/>
      <c r="M68" s="71"/>
      <c r="N68" s="293">
        <v>1.5E-3</v>
      </c>
      <c r="O68" s="71"/>
      <c r="P68" s="87"/>
    </row>
    <row r="69" spans="1:16">
      <c r="A69" s="64" t="s">
        <v>233</v>
      </c>
      <c r="B69" s="71"/>
      <c r="C69" s="125" t="s">
        <v>23</v>
      </c>
      <c r="E69" s="193"/>
      <c r="F69" s="68"/>
      <c r="G69" s="194"/>
      <c r="H69" s="194"/>
      <c r="I69" s="194"/>
      <c r="K69" s="61" t="s">
        <v>464</v>
      </c>
      <c r="L69" s="71"/>
      <c r="M69" s="71"/>
      <c r="N69" s="293">
        <v>1E-3</v>
      </c>
      <c r="O69" s="1001">
        <f>AVERAGE('Book Income Statement'!D58:X58)</f>
        <v>73.893824023809572</v>
      </c>
      <c r="P69" s="192"/>
    </row>
    <row r="70" spans="1:16">
      <c r="A70" s="61" t="s">
        <v>185</v>
      </c>
      <c r="B70" s="71"/>
      <c r="C70" s="125" t="s">
        <v>23</v>
      </c>
      <c r="K70" s="61" t="s">
        <v>258</v>
      </c>
      <c r="L70" s="71"/>
      <c r="M70" s="71"/>
      <c r="N70" s="293">
        <v>0</v>
      </c>
      <c r="O70" s="71"/>
      <c r="P70" s="195"/>
    </row>
    <row r="71" spans="1:16">
      <c r="A71" s="64" t="s">
        <v>234</v>
      </c>
      <c r="B71" s="71"/>
      <c r="C71" s="199">
        <v>0</v>
      </c>
      <c r="K71" s="159" t="s">
        <v>312</v>
      </c>
      <c r="L71" s="103"/>
      <c r="M71" s="103"/>
      <c r="N71" s="290">
        <v>0</v>
      </c>
      <c r="O71" s="103"/>
      <c r="P71" s="205"/>
    </row>
    <row r="72" spans="1:16">
      <c r="A72" s="164" t="s">
        <v>334</v>
      </c>
      <c r="B72" s="71"/>
      <c r="C72" s="87"/>
      <c r="P72" s="184"/>
    </row>
    <row r="73" spans="1:16">
      <c r="A73" s="64" t="s">
        <v>276</v>
      </c>
      <c r="B73" s="71"/>
      <c r="C73" s="200">
        <v>1</v>
      </c>
    </row>
    <row r="74" spans="1:16">
      <c r="A74" s="64" t="s">
        <v>277</v>
      </c>
      <c r="B74" s="71"/>
      <c r="C74" s="201">
        <v>0.5</v>
      </c>
    </row>
    <row r="75" spans="1:16">
      <c r="A75" s="164" t="s">
        <v>335</v>
      </c>
      <c r="B75" s="71"/>
      <c r="C75" s="203" t="s">
        <v>333</v>
      </c>
    </row>
    <row r="76" spans="1:16">
      <c r="A76" s="97" t="s">
        <v>186</v>
      </c>
      <c r="B76" s="103"/>
      <c r="C76" s="205" t="s">
        <v>23</v>
      </c>
    </row>
    <row r="77" spans="1:16">
      <c r="A77" s="207"/>
    </row>
    <row r="78" spans="1:16">
      <c r="A78" s="207"/>
    </row>
    <row r="79" spans="1:16">
      <c r="A79" s="207"/>
      <c r="J79" s="216"/>
    </row>
    <row r="80" spans="1:16">
      <c r="A80" s="207"/>
      <c r="J80" s="219"/>
      <c r="O80" s="268"/>
      <c r="P80" s="269"/>
    </row>
    <row r="81" spans="1:16">
      <c r="J81" s="222"/>
      <c r="O81" s="291"/>
      <c r="P81" s="87"/>
    </row>
    <row r="82" spans="1:16">
      <c r="J82" s="227"/>
      <c r="O82" s="204"/>
      <c r="P82" s="87"/>
    </row>
    <row r="83" spans="1:16">
      <c r="J83" s="229"/>
      <c r="O83" s="206"/>
      <c r="P83" s="87"/>
    </row>
    <row r="84" spans="1:16" ht="12.75" thickBot="1">
      <c r="O84" s="103"/>
      <c r="P84" s="208"/>
    </row>
    <row r="85" spans="1:16" ht="16.5" thickBot="1">
      <c r="D85" s="66" t="s">
        <v>292</v>
      </c>
      <c r="E85" s="209" t="s">
        <v>288</v>
      </c>
      <c r="F85" s="210"/>
      <c r="G85" s="210"/>
      <c r="H85" s="211"/>
      <c r="I85" s="212"/>
    </row>
    <row r="86" spans="1:16">
      <c r="A86" s="34"/>
      <c r="B86" s="217" t="s">
        <v>316</v>
      </c>
      <c r="C86" s="34"/>
      <c r="D86" s="66" t="s">
        <v>293</v>
      </c>
      <c r="E86" s="213"/>
      <c r="F86" s="71"/>
      <c r="G86" s="71"/>
      <c r="H86" s="214"/>
      <c r="I86" s="215"/>
    </row>
    <row r="87" spans="1:16" ht="22.5">
      <c r="A87" s="34"/>
      <c r="B87" s="220" t="s">
        <v>314</v>
      </c>
      <c r="C87" s="34"/>
      <c r="E87" s="213" t="s">
        <v>289</v>
      </c>
      <c r="F87" s="218">
        <f>C59</f>
        <v>255548.78900000002</v>
      </c>
      <c r="G87" s="71"/>
      <c r="H87" s="214"/>
    </row>
    <row r="88" spans="1:16" ht="12.75" thickBot="1">
      <c r="A88" s="34"/>
      <c r="B88" s="220" t="s">
        <v>315</v>
      </c>
      <c r="C88" s="34"/>
      <c r="D88" s="238" t="s">
        <v>298</v>
      </c>
      <c r="E88" s="213" t="s">
        <v>290</v>
      </c>
      <c r="F88" s="221">
        <f>F87-C41</f>
        <v>255548.78900000002</v>
      </c>
      <c r="G88" s="71"/>
      <c r="H88" s="214"/>
    </row>
    <row r="89" spans="1:16" ht="12.75" thickBot="1">
      <c r="D89" s="238" t="s">
        <v>301</v>
      </c>
      <c r="E89" s="223" t="s">
        <v>291</v>
      </c>
      <c r="F89" s="224">
        <f>C41</f>
        <v>0</v>
      </c>
      <c r="G89" s="225"/>
      <c r="H89" s="226"/>
    </row>
    <row r="90" spans="1:16" ht="12.75" thickBot="1">
      <c r="E90" s="105"/>
      <c r="F90" s="228"/>
      <c r="G90" s="228"/>
    </row>
    <row r="91" spans="1:16" ht="16.5" thickBot="1">
      <c r="E91" s="230" t="s">
        <v>299</v>
      </c>
      <c r="F91" s="231"/>
      <c r="G91" s="232" t="s">
        <v>300</v>
      </c>
      <c r="H91" s="233"/>
    </row>
    <row r="92" spans="1:16" ht="16.5" thickBot="1">
      <c r="E92" s="230">
        <v>12</v>
      </c>
      <c r="F92" s="231">
        <v>16</v>
      </c>
      <c r="G92" s="234">
        <v>8</v>
      </c>
      <c r="H92" s="235">
        <v>10</v>
      </c>
    </row>
    <row r="93" spans="1:16" ht="13.5" thickBot="1">
      <c r="E93" s="236">
        <f>E92*'Book Income Statement'!$C$80-$C$8-'PPA Assumptions &amp;Summary'!$B$14</f>
        <v>-44241.4717919545</v>
      </c>
      <c r="F93" s="236">
        <f>F92*'Book Income Statement'!$C$80-$C$8-'PPA Assumptions &amp;Summary'!$B$14</f>
        <v>-34736.831130538543</v>
      </c>
      <c r="G93" s="237">
        <f>G92*'Book Income Statement'!$C$79-C8-'PPA Assumptions &amp;Summary'!$B$14</f>
        <v>3408.8257791048886</v>
      </c>
      <c r="H93" s="237">
        <f>H92*'Book Income Statement'!$C$79-C8-'PPA Assumptions &amp;Summary'!$B$14</f>
        <v>22449.880667931699</v>
      </c>
      <c r="I93" s="193"/>
    </row>
    <row r="94" spans="1:16">
      <c r="I94" s="106"/>
    </row>
    <row r="95" spans="1:16">
      <c r="E95" s="66" t="s">
        <v>296</v>
      </c>
      <c r="G95" s="193"/>
    </row>
    <row r="96" spans="1:16">
      <c r="E96" s="239" t="s">
        <v>297</v>
      </c>
      <c r="F96" s="240"/>
      <c r="G96" s="106"/>
      <c r="H96" s="240"/>
    </row>
    <row r="106" spans="11:14">
      <c r="K106" s="66" t="s">
        <v>306</v>
      </c>
    </row>
    <row r="107" spans="11:14">
      <c r="K107" s="66" t="s">
        <v>307</v>
      </c>
    </row>
    <row r="108" spans="11:14">
      <c r="K108" s="66" t="s">
        <v>308</v>
      </c>
    </row>
    <row r="109" spans="11:14">
      <c r="K109" s="66" t="s">
        <v>309</v>
      </c>
      <c r="N109" s="202"/>
    </row>
    <row r="110" spans="11:14">
      <c r="K110" s="66" t="s">
        <v>310</v>
      </c>
      <c r="N110" s="202"/>
    </row>
    <row r="111" spans="11:14">
      <c r="L111" s="202"/>
      <c r="M111" s="202"/>
      <c r="N111" s="202"/>
    </row>
    <row r="65533" spans="4:4">
      <c r="D65533" s="238" t="s">
        <v>298</v>
      </c>
    </row>
  </sheetData>
  <customSheetViews>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1"/>
      <headerFooter alignWithMargins="0">
        <oddFooter>&amp;L&amp;D   &amp;T&amp;RO:\Naes\GenSvcs\Tva\Tva Models\&amp;F   
&amp;A   &amp;P</oddFooter>
      </headerFooter>
    </customSheetView>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2"/>
      <headerFooter alignWithMargins="0">
        <oddFooter>&amp;L&amp;D   &amp;T&amp;RO:\Naes\GenSvcs\TVA\TVA Model\&amp;F
&amp;A &amp;P</oddFooter>
      </headerFooter>
    </customSheetView>
  </customSheetViews>
  <mergeCells count="3">
    <mergeCell ref="A2:N2"/>
    <mergeCell ref="A3:N3"/>
    <mergeCell ref="A4:N4"/>
  </mergeCells>
  <dataValidations count="9">
    <dataValidation type="list" allowBlank="1" showInputMessage="1" showErrorMessage="1" sqref="I46">
      <formula1>"Financing, Operations"</formula1>
    </dataValidation>
    <dataValidation type="list" allowBlank="1" showInputMessage="1" showErrorMessage="1" sqref="C69:C70 C76 C65:C66">
      <formula1>"Yes,No"</formula1>
    </dataValidation>
    <dataValidation type="list" allowBlank="1" showInputMessage="1" showErrorMessage="1" sqref="C63">
      <formula1>"Fixed,Index"</formula1>
    </dataValidation>
    <dataValidation type="list" allowBlank="1" showInputMessage="1" showErrorMessage="1" sqref="C68">
      <formula1>"Assumed,Dispatched"</formula1>
    </dataValidation>
    <dataValidation type="list" allowBlank="1" showInputMessage="1" showErrorMessage="1" sqref="G42:H42">
      <formula1>"Interest Only,No P&amp;I"</formula1>
    </dataValidation>
    <dataValidation type="list" allowBlank="1" showInputMessage="1" showErrorMessage="1" sqref="B28">
      <formula1>"0,.0075,.015,.035,.06"</formula1>
    </dataValidation>
    <dataValidation type="list" allowBlank="1" showInputMessage="1" showErrorMessage="1" sqref="C64">
      <formula1>"0,2.5,N/A"</formula1>
    </dataValidation>
    <dataValidation type="list" allowBlank="1" showInputMessage="1" showErrorMessage="1" sqref="I34">
      <formula1>"Normal,Alternate"</formula1>
    </dataValidation>
    <dataValidation type="list" allowBlank="1" showInputMessage="1" showErrorMessage="1" sqref="C75">
      <formula1>"Kaiser Peak, ECT Peak Curve, Marginal Cost Curve"</formula1>
    </dataValidation>
  </dataValidations>
  <printOptions horizontalCentered="1"/>
  <pageMargins left="0.25" right="0.25" top="0.25" bottom="0.5" header="0" footer="0"/>
  <pageSetup scale="49" pageOrder="overThenDown" orientation="landscape" horizontalDpi="4294967294" r:id="rId3"/>
  <headerFooter alignWithMargins="0">
    <oddFooter>&amp;L&amp;D   &amp;T&amp;R&amp;F
&amp;A &amp;P</oddFooter>
  </headerFooter>
  <colBreaks count="1" manualBreakCount="1">
    <brk id="14" max="72"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2" r:id="rId6" name="Button 502">
              <controlPr defaultSize="0" print="0" autoFill="0" autoPict="0" macro="[0]!Print1">
                <anchor moveWithCells="1" sizeWithCells="1">
                  <from>
                    <xdr:col>0</xdr:col>
                    <xdr:colOff>333375</xdr:colOff>
                    <xdr:row>1</xdr:row>
                    <xdr:rowOff>9525</xdr:rowOff>
                  </from>
                  <to>
                    <xdr:col>0</xdr:col>
                    <xdr:colOff>1819275</xdr:colOff>
                    <xdr:row>3</xdr:row>
                    <xdr:rowOff>85725</xdr:rowOff>
                  </to>
                </anchor>
              </controlPr>
            </control>
          </mc:Choice>
        </mc:AlternateContent>
        <mc:AlternateContent xmlns:mc="http://schemas.openxmlformats.org/markup-compatibility/2006">
          <mc:Choice Requires="x14">
            <control shapeId="10761" r:id="rId7" name="Button 521">
              <controlPr defaultSize="0" print="0" autoFill="0" autoPict="0" macro="[0]!Module6.Tax">
                <anchor moveWithCells="1" sizeWithCells="1">
                  <from>
                    <xdr:col>0</xdr:col>
                    <xdr:colOff>1981200</xdr:colOff>
                    <xdr:row>2</xdr:row>
                    <xdr:rowOff>9525</xdr:rowOff>
                  </from>
                  <to>
                    <xdr:col>1</xdr:col>
                    <xdr:colOff>257175</xdr:colOff>
                    <xdr:row>3</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A85"/>
  <sheetViews>
    <sheetView topLeftCell="A46" zoomScale="75" zoomScaleNormal="75" zoomScaleSheetLayoutView="85" workbookViewId="0">
      <selection activeCell="H59" sqref="H59"/>
    </sheetView>
  </sheetViews>
  <sheetFormatPr defaultRowHeight="12.75" outlineLevelRow="1"/>
  <cols>
    <col min="1" max="1" width="37.28515625" style="27" customWidth="1"/>
    <col min="2" max="2" width="8.85546875" style="27" customWidth="1"/>
    <col min="3" max="23" width="9.140625" style="27"/>
    <col min="24" max="26" width="0" style="27" hidden="1" customWidth="1"/>
    <col min="27" max="16384" width="9.140625" style="27"/>
  </cols>
  <sheetData>
    <row r="1" spans="1:27" ht="20.25">
      <c r="A1" s="486" t="str">
        <f>'Project Assumptions'!$A$2</f>
        <v>WILTON CENTER, Will County, IL</v>
      </c>
      <c r="B1" s="487"/>
      <c r="C1" s="535"/>
      <c r="E1" s="691"/>
    </row>
    <row r="2" spans="1:27">
      <c r="A2" s="490" t="s">
        <v>145</v>
      </c>
      <c r="B2" s="491"/>
      <c r="C2" s="536"/>
      <c r="E2" s="691"/>
    </row>
    <row r="3" spans="1:27">
      <c r="B3" s="34"/>
      <c r="C3" s="809">
        <v>1</v>
      </c>
      <c r="D3" s="809">
        <f>C3+1</f>
        <v>2</v>
      </c>
      <c r="E3" s="809">
        <f t="shared" ref="E3:AA3" si="0">D3+1</f>
        <v>3</v>
      </c>
      <c r="F3" s="809">
        <f t="shared" si="0"/>
        <v>4</v>
      </c>
      <c r="G3" s="809">
        <f t="shared" si="0"/>
        <v>5</v>
      </c>
      <c r="H3" s="809">
        <f t="shared" si="0"/>
        <v>6</v>
      </c>
      <c r="I3" s="809">
        <f t="shared" si="0"/>
        <v>7</v>
      </c>
      <c r="J3" s="809">
        <f t="shared" si="0"/>
        <v>8</v>
      </c>
      <c r="K3" s="809">
        <f t="shared" si="0"/>
        <v>9</v>
      </c>
      <c r="L3" s="809">
        <f t="shared" si="0"/>
        <v>10</v>
      </c>
      <c r="M3" s="809">
        <f t="shared" si="0"/>
        <v>11</v>
      </c>
      <c r="N3" s="809">
        <f t="shared" si="0"/>
        <v>12</v>
      </c>
      <c r="O3" s="809">
        <f t="shared" si="0"/>
        <v>13</v>
      </c>
      <c r="P3" s="809">
        <f t="shared" si="0"/>
        <v>14</v>
      </c>
      <c r="Q3" s="809">
        <f t="shared" si="0"/>
        <v>15</v>
      </c>
      <c r="R3" s="809">
        <f t="shared" si="0"/>
        <v>16</v>
      </c>
      <c r="S3" s="809">
        <f t="shared" si="0"/>
        <v>17</v>
      </c>
      <c r="T3" s="809">
        <f t="shared" si="0"/>
        <v>18</v>
      </c>
      <c r="U3" s="809">
        <f t="shared" si="0"/>
        <v>19</v>
      </c>
      <c r="V3" s="809">
        <f t="shared" si="0"/>
        <v>20</v>
      </c>
      <c r="W3" s="809">
        <f t="shared" si="0"/>
        <v>21</v>
      </c>
      <c r="X3" s="809">
        <f t="shared" si="0"/>
        <v>22</v>
      </c>
      <c r="Y3" s="809">
        <f t="shared" si="0"/>
        <v>23</v>
      </c>
      <c r="Z3" s="809">
        <f t="shared" si="0"/>
        <v>24</v>
      </c>
      <c r="AA3" s="809">
        <f t="shared" si="0"/>
        <v>25</v>
      </c>
    </row>
    <row r="4" spans="1:27">
      <c r="A4" s="455"/>
      <c r="B4" s="437"/>
      <c r="C4" s="504">
        <f>YEAR(StartDate)</f>
        <v>2000</v>
      </c>
      <c r="D4" s="504">
        <f>C4+1</f>
        <v>2001</v>
      </c>
      <c r="E4" s="504">
        <f t="shared" ref="E4:AA4" si="1">D4+1</f>
        <v>2002</v>
      </c>
      <c r="F4" s="504">
        <f t="shared" si="1"/>
        <v>2003</v>
      </c>
      <c r="G4" s="504">
        <f t="shared" si="1"/>
        <v>2004</v>
      </c>
      <c r="H4" s="504">
        <f t="shared" si="1"/>
        <v>2005</v>
      </c>
      <c r="I4" s="504">
        <f t="shared" si="1"/>
        <v>2006</v>
      </c>
      <c r="J4" s="504">
        <f t="shared" si="1"/>
        <v>2007</v>
      </c>
      <c r="K4" s="504">
        <f t="shared" si="1"/>
        <v>2008</v>
      </c>
      <c r="L4" s="504">
        <f t="shared" si="1"/>
        <v>2009</v>
      </c>
      <c r="M4" s="504">
        <f t="shared" si="1"/>
        <v>2010</v>
      </c>
      <c r="N4" s="504">
        <f t="shared" si="1"/>
        <v>2011</v>
      </c>
      <c r="O4" s="504">
        <f t="shared" si="1"/>
        <v>2012</v>
      </c>
      <c r="P4" s="504">
        <f t="shared" si="1"/>
        <v>2013</v>
      </c>
      <c r="Q4" s="504">
        <f t="shared" si="1"/>
        <v>2014</v>
      </c>
      <c r="R4" s="504">
        <f t="shared" si="1"/>
        <v>2015</v>
      </c>
      <c r="S4" s="504">
        <f t="shared" si="1"/>
        <v>2016</v>
      </c>
      <c r="T4" s="504">
        <f t="shared" si="1"/>
        <v>2017</v>
      </c>
      <c r="U4" s="504">
        <f t="shared" si="1"/>
        <v>2018</v>
      </c>
      <c r="V4" s="504">
        <f t="shared" si="1"/>
        <v>2019</v>
      </c>
      <c r="W4" s="504">
        <f t="shared" si="1"/>
        <v>2020</v>
      </c>
      <c r="X4" s="504">
        <f t="shared" si="1"/>
        <v>2021</v>
      </c>
      <c r="Y4" s="504">
        <f t="shared" si="1"/>
        <v>2022</v>
      </c>
      <c r="Z4" s="504">
        <f t="shared" si="1"/>
        <v>2023</v>
      </c>
      <c r="AA4" s="505">
        <f t="shared" si="1"/>
        <v>2024</v>
      </c>
    </row>
    <row r="5" spans="1:27" s="33" customFormat="1">
      <c r="A5" s="694" t="s">
        <v>240</v>
      </c>
      <c r="C5" s="810">
        <f>ROUND((DATE($D$4,1,1)-StartDate)/30.4375,1)</f>
        <v>7</v>
      </c>
      <c r="D5" s="347">
        <f t="shared" ref="D5:V5" si="2">IF($C$5&lt;12,IF(D$3&gt;ProjectLife+1+1,0,IF(D$3=ProjectLife+1+1,12-$C$5,12)),IF(D$3&gt;ProjectLife+1,0,12))</f>
        <v>12</v>
      </c>
      <c r="E5" s="347">
        <f t="shared" si="2"/>
        <v>12</v>
      </c>
      <c r="F5" s="347">
        <f t="shared" si="2"/>
        <v>12</v>
      </c>
      <c r="G5" s="347">
        <f t="shared" si="2"/>
        <v>12</v>
      </c>
      <c r="H5" s="347">
        <f t="shared" si="2"/>
        <v>12</v>
      </c>
      <c r="I5" s="347">
        <f t="shared" si="2"/>
        <v>12</v>
      </c>
      <c r="J5" s="347">
        <f t="shared" si="2"/>
        <v>12</v>
      </c>
      <c r="K5" s="347">
        <f t="shared" si="2"/>
        <v>12</v>
      </c>
      <c r="L5" s="347">
        <f t="shared" si="2"/>
        <v>12</v>
      </c>
      <c r="M5" s="347">
        <f t="shared" si="2"/>
        <v>12</v>
      </c>
      <c r="N5" s="347">
        <f t="shared" si="2"/>
        <v>12</v>
      </c>
      <c r="O5" s="347">
        <f t="shared" si="2"/>
        <v>12</v>
      </c>
      <c r="P5" s="347">
        <f t="shared" si="2"/>
        <v>12</v>
      </c>
      <c r="Q5" s="347">
        <f t="shared" si="2"/>
        <v>12</v>
      </c>
      <c r="R5" s="347">
        <f t="shared" si="2"/>
        <v>12</v>
      </c>
      <c r="S5" s="347">
        <f t="shared" si="2"/>
        <v>12</v>
      </c>
      <c r="T5" s="347">
        <f t="shared" si="2"/>
        <v>12</v>
      </c>
      <c r="U5" s="347">
        <f t="shared" si="2"/>
        <v>12</v>
      </c>
      <c r="V5" s="347">
        <f t="shared" si="2"/>
        <v>12</v>
      </c>
      <c r="W5" s="497">
        <v>5</v>
      </c>
      <c r="X5" s="497">
        <v>0</v>
      </c>
      <c r="Y5" s="347">
        <f>IF($C$5&lt;12,IF(Y$3&gt;ProjectLife+1+1,0,IF(Y$3=ProjectLife+1+1,12-$C$5,12)),IF(Y$3&gt;ProjectLife+1,0,12))</f>
        <v>0</v>
      </c>
      <c r="Z5" s="347">
        <f>IF($C$5&lt;12,IF(Z$3&gt;ProjectLife+1+1,0,IF(Z$3=ProjectLife+1+1,12-$C$5,12)),IF(Z$3&gt;ProjectLife+1,0,12))</f>
        <v>0</v>
      </c>
      <c r="AA5" s="348">
        <f>IF($C$5&lt;12,IF(AA$3&gt;ProjectLife+1+1,0,IF(AA$3=ProjectLife+1+1,12-$C$5,12)),IF(AA$3&gt;ProjectLife+1,0,12))</f>
        <v>0</v>
      </c>
    </row>
    <row r="6" spans="1:27" s="34" customFormat="1" ht="12.6" customHeight="1">
      <c r="A6" s="811" t="s">
        <v>141</v>
      </c>
      <c r="B6" s="33"/>
      <c r="C6" s="347">
        <f>IF($C$5&lt;12,IF(C$3&gt;PPATerm+1,0,IF(C$3=PPATerm+1,12-$C$5,C$5)),IF(C$3&lt;PPATerm+1,C$5,0))</f>
        <v>7</v>
      </c>
      <c r="D6" s="347">
        <f t="shared" ref="D6:AA6" si="3">IF($C$5&lt;12,IF(D$3&gt;PPATerm+1,0,IF(D$3=PPATerm+1,12-$C$5,D$5)),IF(D$3&lt;PPATerm+1,D$5,0))</f>
        <v>12</v>
      </c>
      <c r="E6" s="347">
        <f t="shared" si="3"/>
        <v>12</v>
      </c>
      <c r="F6" s="347">
        <f t="shared" si="3"/>
        <v>5</v>
      </c>
      <c r="G6" s="347">
        <f t="shared" si="3"/>
        <v>0</v>
      </c>
      <c r="H6" s="347">
        <f t="shared" si="3"/>
        <v>0</v>
      </c>
      <c r="I6" s="347">
        <f t="shared" si="3"/>
        <v>0</v>
      </c>
      <c r="J6" s="347">
        <f t="shared" si="3"/>
        <v>0</v>
      </c>
      <c r="K6" s="347">
        <f t="shared" si="3"/>
        <v>0</v>
      </c>
      <c r="L6" s="347">
        <f t="shared" si="3"/>
        <v>0</v>
      </c>
      <c r="M6" s="347">
        <f t="shared" si="3"/>
        <v>0</v>
      </c>
      <c r="N6" s="347">
        <f t="shared" si="3"/>
        <v>0</v>
      </c>
      <c r="O6" s="347">
        <f t="shared" si="3"/>
        <v>0</v>
      </c>
      <c r="P6" s="347">
        <f t="shared" si="3"/>
        <v>0</v>
      </c>
      <c r="Q6" s="347">
        <f t="shared" si="3"/>
        <v>0</v>
      </c>
      <c r="R6" s="347">
        <f t="shared" si="3"/>
        <v>0</v>
      </c>
      <c r="S6" s="347">
        <f t="shared" si="3"/>
        <v>0</v>
      </c>
      <c r="T6" s="347">
        <f t="shared" si="3"/>
        <v>0</v>
      </c>
      <c r="U6" s="347">
        <f t="shared" si="3"/>
        <v>0</v>
      </c>
      <c r="V6" s="347">
        <f t="shared" si="3"/>
        <v>0</v>
      </c>
      <c r="W6" s="347">
        <f t="shared" si="3"/>
        <v>0</v>
      </c>
      <c r="X6" s="347">
        <f t="shared" si="3"/>
        <v>0</v>
      </c>
      <c r="Y6" s="347">
        <f t="shared" si="3"/>
        <v>0</v>
      </c>
      <c r="Z6" s="347">
        <f t="shared" si="3"/>
        <v>0</v>
      </c>
      <c r="AA6" s="348">
        <f t="shared" si="3"/>
        <v>0</v>
      </c>
    </row>
    <row r="7" spans="1:27" s="34" customFormat="1" ht="12.6" customHeight="1">
      <c r="A7" s="811" t="s">
        <v>350</v>
      </c>
      <c r="B7" s="33"/>
      <c r="C7" s="347">
        <f t="shared" ref="C7:AA7" si="4">C5-C6</f>
        <v>0</v>
      </c>
      <c r="D7" s="347">
        <f t="shared" si="4"/>
        <v>0</v>
      </c>
      <c r="E7" s="347">
        <f t="shared" si="4"/>
        <v>0</v>
      </c>
      <c r="F7" s="347">
        <f t="shared" si="4"/>
        <v>7</v>
      </c>
      <c r="G7" s="347">
        <f t="shared" si="4"/>
        <v>12</v>
      </c>
      <c r="H7" s="347">
        <f t="shared" si="4"/>
        <v>12</v>
      </c>
      <c r="I7" s="347">
        <f t="shared" si="4"/>
        <v>12</v>
      </c>
      <c r="J7" s="347">
        <f t="shared" si="4"/>
        <v>12</v>
      </c>
      <c r="K7" s="347">
        <f t="shared" si="4"/>
        <v>12</v>
      </c>
      <c r="L7" s="347">
        <f t="shared" si="4"/>
        <v>12</v>
      </c>
      <c r="M7" s="347">
        <f t="shared" si="4"/>
        <v>12</v>
      </c>
      <c r="N7" s="347">
        <f t="shared" si="4"/>
        <v>12</v>
      </c>
      <c r="O7" s="347">
        <f t="shared" si="4"/>
        <v>12</v>
      </c>
      <c r="P7" s="347">
        <f t="shared" si="4"/>
        <v>12</v>
      </c>
      <c r="Q7" s="347">
        <f t="shared" si="4"/>
        <v>12</v>
      </c>
      <c r="R7" s="347">
        <f t="shared" si="4"/>
        <v>12</v>
      </c>
      <c r="S7" s="347">
        <f t="shared" si="4"/>
        <v>12</v>
      </c>
      <c r="T7" s="347">
        <f t="shared" si="4"/>
        <v>12</v>
      </c>
      <c r="U7" s="347">
        <f t="shared" si="4"/>
        <v>12</v>
      </c>
      <c r="V7" s="347">
        <f t="shared" si="4"/>
        <v>12</v>
      </c>
      <c r="W7" s="347">
        <v>5</v>
      </c>
      <c r="X7" s="347">
        <f t="shared" si="4"/>
        <v>0</v>
      </c>
      <c r="Y7" s="347">
        <f t="shared" si="4"/>
        <v>0</v>
      </c>
      <c r="Z7" s="347">
        <f t="shared" si="4"/>
        <v>0</v>
      </c>
      <c r="AA7" s="348">
        <f t="shared" si="4"/>
        <v>0</v>
      </c>
    </row>
    <row r="8" spans="1:27" s="34" customFormat="1" ht="12.6" customHeight="1">
      <c r="A8" s="811" t="s">
        <v>351</v>
      </c>
      <c r="B8" s="33"/>
      <c r="C8" s="812">
        <f>IF(C5=0,0,PPACAPACITY/NetMW*(C6/C5))</f>
        <v>1</v>
      </c>
      <c r="D8" s="812">
        <f t="shared" ref="D8:AA8" si="5">IF(D5=0,0,PPACAPACITY/NetMW*(D6/D5))</f>
        <v>1</v>
      </c>
      <c r="E8" s="812">
        <f t="shared" si="5"/>
        <v>1</v>
      </c>
      <c r="F8" s="812">
        <f t="shared" si="5"/>
        <v>0.41666666666666669</v>
      </c>
      <c r="G8" s="812">
        <f t="shared" si="5"/>
        <v>0</v>
      </c>
      <c r="H8" s="812">
        <f t="shared" si="5"/>
        <v>0</v>
      </c>
      <c r="I8" s="812">
        <f t="shared" si="5"/>
        <v>0</v>
      </c>
      <c r="J8" s="812">
        <f t="shared" si="5"/>
        <v>0</v>
      </c>
      <c r="K8" s="812">
        <f t="shared" si="5"/>
        <v>0</v>
      </c>
      <c r="L8" s="812">
        <f t="shared" si="5"/>
        <v>0</v>
      </c>
      <c r="M8" s="812">
        <f t="shared" si="5"/>
        <v>0</v>
      </c>
      <c r="N8" s="812">
        <f t="shared" si="5"/>
        <v>0</v>
      </c>
      <c r="O8" s="812">
        <f t="shared" si="5"/>
        <v>0</v>
      </c>
      <c r="P8" s="812">
        <f t="shared" si="5"/>
        <v>0</v>
      </c>
      <c r="Q8" s="812">
        <f t="shared" si="5"/>
        <v>0</v>
      </c>
      <c r="R8" s="812">
        <f t="shared" si="5"/>
        <v>0</v>
      </c>
      <c r="S8" s="812">
        <f t="shared" si="5"/>
        <v>0</v>
      </c>
      <c r="T8" s="812">
        <f t="shared" si="5"/>
        <v>0</v>
      </c>
      <c r="U8" s="812">
        <f t="shared" si="5"/>
        <v>0</v>
      </c>
      <c r="V8" s="812">
        <f t="shared" si="5"/>
        <v>0</v>
      </c>
      <c r="W8" s="812">
        <f t="shared" si="5"/>
        <v>0</v>
      </c>
      <c r="X8" s="812">
        <f t="shared" si="5"/>
        <v>0</v>
      </c>
      <c r="Y8" s="812">
        <f t="shared" si="5"/>
        <v>0</v>
      </c>
      <c r="Z8" s="812">
        <f t="shared" si="5"/>
        <v>0</v>
      </c>
      <c r="AA8" s="813">
        <f t="shared" si="5"/>
        <v>0</v>
      </c>
    </row>
    <row r="9" spans="1:27" s="34" customFormat="1" ht="17.25" customHeight="1" outlineLevel="1">
      <c r="A9" s="814" t="s">
        <v>352</v>
      </c>
      <c r="B9" s="815" t="s">
        <v>294</v>
      </c>
      <c r="C9" s="816" t="str">
        <f>IF(C5=0,"",IF(C7=0,"PPA",IF(C6=0,"MERCH.","BLENDED")))</f>
        <v>PPA</v>
      </c>
      <c r="D9" s="816" t="str">
        <f>IF(D5=0,"",IF(D7=0,"PPA",IF(D6=0,"MERCH.","BLENDED")))</f>
        <v>PPA</v>
      </c>
      <c r="E9" s="816" t="str">
        <f t="shared" ref="E9:AA9" si="6">IF(E5=0,"",IF(E7=0,"PPA",IF(E6=0,"MERCH.","BLENDED")))</f>
        <v>PPA</v>
      </c>
      <c r="F9" s="816" t="str">
        <f t="shared" si="6"/>
        <v>BLENDED</v>
      </c>
      <c r="G9" s="816" t="str">
        <f t="shared" si="6"/>
        <v>MERCH.</v>
      </c>
      <c r="H9" s="816" t="str">
        <f t="shared" si="6"/>
        <v>MERCH.</v>
      </c>
      <c r="I9" s="816" t="str">
        <f t="shared" si="6"/>
        <v>MERCH.</v>
      </c>
      <c r="J9" s="816" t="str">
        <f t="shared" si="6"/>
        <v>MERCH.</v>
      </c>
      <c r="K9" s="816" t="str">
        <f t="shared" si="6"/>
        <v>MERCH.</v>
      </c>
      <c r="L9" s="816" t="str">
        <f t="shared" si="6"/>
        <v>MERCH.</v>
      </c>
      <c r="M9" s="816" t="str">
        <f t="shared" si="6"/>
        <v>MERCH.</v>
      </c>
      <c r="N9" s="816" t="str">
        <f t="shared" si="6"/>
        <v>MERCH.</v>
      </c>
      <c r="O9" s="816" t="str">
        <f t="shared" si="6"/>
        <v>MERCH.</v>
      </c>
      <c r="P9" s="816" t="str">
        <f t="shared" si="6"/>
        <v>MERCH.</v>
      </c>
      <c r="Q9" s="816" t="str">
        <f t="shared" si="6"/>
        <v>MERCH.</v>
      </c>
      <c r="R9" s="816" t="str">
        <f t="shared" si="6"/>
        <v>MERCH.</v>
      </c>
      <c r="S9" s="816" t="str">
        <f t="shared" si="6"/>
        <v>MERCH.</v>
      </c>
      <c r="T9" s="816" t="str">
        <f t="shared" si="6"/>
        <v>MERCH.</v>
      </c>
      <c r="U9" s="816" t="str">
        <f t="shared" si="6"/>
        <v>MERCH.</v>
      </c>
      <c r="V9" s="816" t="str">
        <f t="shared" si="6"/>
        <v>MERCH.</v>
      </c>
      <c r="W9" s="816" t="str">
        <f t="shared" si="6"/>
        <v>MERCH.</v>
      </c>
      <c r="X9" s="816" t="str">
        <f t="shared" si="6"/>
        <v/>
      </c>
      <c r="Y9" s="816" t="str">
        <f t="shared" si="6"/>
        <v/>
      </c>
      <c r="Z9" s="816" t="str">
        <f t="shared" si="6"/>
        <v/>
      </c>
      <c r="AA9" s="817" t="str">
        <f t="shared" si="6"/>
        <v/>
      </c>
    </row>
    <row r="10" spans="1:27" s="34" customFormat="1" ht="12.6" customHeight="1" outlineLevel="1">
      <c r="A10" s="28"/>
      <c r="C10" s="40"/>
      <c r="D10" s="40"/>
      <c r="E10" s="691"/>
      <c r="F10" s="691"/>
      <c r="G10" s="691"/>
      <c r="H10" s="691"/>
      <c r="I10" s="691"/>
      <c r="J10" s="691"/>
      <c r="K10" s="691"/>
      <c r="L10" s="691"/>
      <c r="M10" s="691"/>
      <c r="N10" s="691"/>
      <c r="O10" s="691"/>
      <c r="P10" s="691"/>
      <c r="Q10" s="691"/>
      <c r="R10" s="691"/>
      <c r="S10" s="691"/>
      <c r="T10" s="691"/>
      <c r="U10" s="691"/>
      <c r="V10" s="691"/>
      <c r="W10" s="691"/>
      <c r="X10" s="691"/>
      <c r="Y10" s="691"/>
      <c r="Z10" s="691"/>
      <c r="AA10" s="691"/>
    </row>
    <row r="11" spans="1:27" s="34" customFormat="1" ht="12.6" customHeight="1" outlineLevel="1">
      <c r="A11" s="455" t="s">
        <v>142</v>
      </c>
      <c r="B11" s="437"/>
      <c r="C11" s="818">
        <f>IF('Project Assumptions'!$C$76="Yes",C26,C24)</f>
        <v>29.932500000000001</v>
      </c>
      <c r="D11" s="818">
        <f>IF('Project Assumptions'!$C$76="Yes",D26,D24)</f>
        <v>29.932500000000001</v>
      </c>
      <c r="E11" s="818">
        <f>IF('Project Assumptions'!$C$76="Yes",E26,E24)</f>
        <v>29.932500000000001</v>
      </c>
      <c r="F11" s="818">
        <f>IF('Project Assumptions'!$C$76="Yes",F26,F24)</f>
        <v>29.932500000000001</v>
      </c>
      <c r="G11" s="818">
        <f>IF('Project Assumptions'!$C$76="Yes",G26,G24)</f>
        <v>29.932500000000005</v>
      </c>
      <c r="H11" s="818">
        <f>IF('Project Assumptions'!$C$76="Yes",H26,H24)</f>
        <v>29.932500000000005</v>
      </c>
      <c r="I11" s="818">
        <f>IF('Project Assumptions'!$C$76="Yes",I26,I24)</f>
        <v>29.932500000000005</v>
      </c>
      <c r="J11" s="818">
        <f>IF('Project Assumptions'!$C$76="Yes",J26,J24)</f>
        <v>29.932500000000005</v>
      </c>
      <c r="K11" s="818">
        <f>IF('Project Assumptions'!$C$76="Yes",K26,K24)</f>
        <v>29.932500000000005</v>
      </c>
      <c r="L11" s="818">
        <f>IF('Project Assumptions'!$C$76="Yes",L26,L24)</f>
        <v>29.932500000000005</v>
      </c>
      <c r="M11" s="818">
        <f>IF('Project Assumptions'!$C$76="Yes",M26,M24)</f>
        <v>29.932500000000005</v>
      </c>
      <c r="N11" s="818">
        <f>IF('Project Assumptions'!$C$76="Yes",N26,N24)</f>
        <v>29.932500000000005</v>
      </c>
      <c r="O11" s="818">
        <f>IF('Project Assumptions'!$C$76="Yes",O26,O24)</f>
        <v>29.932500000000005</v>
      </c>
      <c r="P11" s="818">
        <f>IF('Project Assumptions'!$C$76="Yes",P26,P24)</f>
        <v>29.932500000000005</v>
      </c>
      <c r="Q11" s="818">
        <f>IF('Project Assumptions'!$C$76="Yes",Q26,Q24)</f>
        <v>29.932500000000005</v>
      </c>
      <c r="R11" s="818">
        <f>IF('Project Assumptions'!$C$76="Yes",R26,R24)</f>
        <v>29.932500000000005</v>
      </c>
      <c r="S11" s="818">
        <f>IF('Project Assumptions'!$C$76="Yes",S26,S24)</f>
        <v>29.932500000000005</v>
      </c>
      <c r="T11" s="818">
        <f>IF('Project Assumptions'!$C$76="Yes",T26,T24)</f>
        <v>29.932500000000005</v>
      </c>
      <c r="U11" s="818">
        <f>IF('Project Assumptions'!$C$76="Yes",U26,U24)</f>
        <v>29.932500000000005</v>
      </c>
      <c r="V11" s="818">
        <f>IF('Project Assumptions'!$C$76="Yes",V26,V24)</f>
        <v>29.932500000000005</v>
      </c>
      <c r="W11" s="818">
        <f>IF('Project Assumptions'!$C$76="Yes",W26,W24)</f>
        <v>29.932499999999997</v>
      </c>
      <c r="X11" s="818">
        <f>IF('Project Assumptions'!$C$76="Yes",X26,X24)</f>
        <v>0</v>
      </c>
      <c r="Y11" s="818">
        <f>IF('Project Assumptions'!$C$76="Yes",Y26,Y24)</f>
        <v>0</v>
      </c>
      <c r="Z11" s="818">
        <f>IF('Project Assumptions'!$C$76="Yes",Z26,Z24)</f>
        <v>0</v>
      </c>
      <c r="AA11" s="819">
        <f>IF('Project Assumptions'!$C$76="Yes",AA26,AA24)</f>
        <v>0</v>
      </c>
    </row>
    <row r="12" spans="1:27" s="34" customFormat="1" ht="12.6" customHeight="1" outlineLevel="1">
      <c r="A12" s="456" t="s">
        <v>655</v>
      </c>
      <c r="B12" s="33"/>
      <c r="C12" s="691">
        <f>IF(C6=0,0,PPA_Price)</f>
        <v>4</v>
      </c>
      <c r="D12" s="691">
        <f t="shared" ref="D12:AA12" si="7">IF(D6=0,0,PPA_Price)</f>
        <v>4</v>
      </c>
      <c r="E12" s="691">
        <f t="shared" si="7"/>
        <v>4</v>
      </c>
      <c r="F12" s="691">
        <f t="shared" si="7"/>
        <v>4</v>
      </c>
      <c r="G12" s="691">
        <f t="shared" si="7"/>
        <v>0</v>
      </c>
      <c r="H12" s="691">
        <f t="shared" si="7"/>
        <v>0</v>
      </c>
      <c r="I12" s="691">
        <f t="shared" si="7"/>
        <v>0</v>
      </c>
      <c r="J12" s="691">
        <f t="shared" si="7"/>
        <v>0</v>
      </c>
      <c r="K12" s="691">
        <f t="shared" si="7"/>
        <v>0</v>
      </c>
      <c r="L12" s="691">
        <f t="shared" si="7"/>
        <v>0</v>
      </c>
      <c r="M12" s="691">
        <f t="shared" si="7"/>
        <v>0</v>
      </c>
      <c r="N12" s="691">
        <f t="shared" si="7"/>
        <v>0</v>
      </c>
      <c r="O12" s="691">
        <f t="shared" si="7"/>
        <v>0</v>
      </c>
      <c r="P12" s="691">
        <f t="shared" si="7"/>
        <v>0</v>
      </c>
      <c r="Q12" s="691">
        <f t="shared" si="7"/>
        <v>0</v>
      </c>
      <c r="R12" s="691">
        <f t="shared" si="7"/>
        <v>0</v>
      </c>
      <c r="S12" s="691">
        <f t="shared" si="7"/>
        <v>0</v>
      </c>
      <c r="T12" s="691">
        <f t="shared" si="7"/>
        <v>0</v>
      </c>
      <c r="U12" s="691">
        <f t="shared" si="7"/>
        <v>0</v>
      </c>
      <c r="V12" s="691">
        <f t="shared" si="7"/>
        <v>0</v>
      </c>
      <c r="W12" s="691">
        <f t="shared" si="7"/>
        <v>0</v>
      </c>
      <c r="X12" s="691">
        <f t="shared" si="7"/>
        <v>0</v>
      </c>
      <c r="Y12" s="691">
        <f t="shared" si="7"/>
        <v>0</v>
      </c>
      <c r="Z12" s="691">
        <f t="shared" si="7"/>
        <v>0</v>
      </c>
      <c r="AA12" s="820">
        <f t="shared" si="7"/>
        <v>0</v>
      </c>
    </row>
    <row r="13" spans="1:27" s="34" customFormat="1" ht="12.6" customHeight="1" outlineLevel="1">
      <c r="A13" s="456" t="s">
        <v>656</v>
      </c>
      <c r="B13" s="33"/>
      <c r="C13" s="691">
        <f>IF(C7=0,0,CHOOSE('Project Assumptions'!$C$73,C65,B66,C67,C68))</f>
        <v>0</v>
      </c>
      <c r="D13" s="691">
        <f>IF(D7=0,0,CHOOSE('Project Assumptions'!$C$73,D65,C66,D67,D68))</f>
        <v>0</v>
      </c>
      <c r="E13" s="691">
        <f>IF(E7=0,0,CHOOSE('Project Assumptions'!$C$73,E65,D66,E67,E68))</f>
        <v>0</v>
      </c>
      <c r="F13" s="691">
        <f>IF(F7=0,0,CHOOSE('Project Assumptions'!$C$73,F65,E66,F67,F68))</f>
        <v>6.2794012357916662</v>
      </c>
      <c r="G13" s="691">
        <f>IF(G7=0,0,CHOOSE('Project Assumptions'!$C$73,G65,F66,G67,G68))</f>
        <v>6.3682789148213326</v>
      </c>
      <c r="H13" s="691">
        <f>IF(H7=0,0,CHOOSE('Project Assumptions'!$C$73,H65,G66,H67,H68))</f>
        <v>6.5593272822659729</v>
      </c>
      <c r="I13" s="691">
        <f>IF(I7=0,0,CHOOSE('Project Assumptions'!$C$73,I65,H66,I67,I68))</f>
        <v>6.5449787538360154</v>
      </c>
      <c r="J13" s="691">
        <f>IF(J7=0,0,CHOOSE('Project Assumptions'!$C$73,J65,I66,J67,J68))</f>
        <v>6.6325970177986591</v>
      </c>
      <c r="K13" s="691">
        <f>IF(K7=0,0,CHOOSE('Project Assumptions'!$C$73,K65,J66,K67,K68))</f>
        <v>6.7195818967206087</v>
      </c>
      <c r="L13" s="691">
        <f>IF(L7=0,0,CHOOSE('Project Assumptions'!$C$73,L65,K66,L67,L68))</f>
        <v>6.8058165310618568</v>
      </c>
      <c r="M13" s="691">
        <f>IF(M7=0,0,CHOOSE('Project Assumptions'!$C$73,M65,L66,M67,M68))</f>
        <v>6.8911776197565295</v>
      </c>
      <c r="N13" s="691">
        <f>IF(N7=0,0,CHOOSE('Project Assumptions'!$C$73,N65,M66,N67,N68))</f>
        <v>6.9755351388949292</v>
      </c>
      <c r="O13" s="691">
        <f>IF(O7=0,0,CHOOSE('Project Assumptions'!$C$73,O65,N66,O67,O68))</f>
        <v>7.0587520493238509</v>
      </c>
      <c r="P13" s="691">
        <f>IF(P7=0,0,CHOOSE('Project Assumptions'!$C$73,P65,O66,P67,P68))</f>
        <v>7.1406839927535044</v>
      </c>
      <c r="Q13" s="691">
        <f>IF(Q7=0,0,CHOOSE('Project Assumptions'!$C$73,Q65,P66,Q67,Q68))</f>
        <v>7.2211789759445422</v>
      </c>
      <c r="R13" s="691">
        <f>IF(R7=0,0,CHOOSE('Project Assumptions'!$C$73,R65,Q66,R67,R68))</f>
        <v>7.3000770425335659</v>
      </c>
      <c r="S13" s="691">
        <f>IF(S7=0,0,CHOOSE('Project Assumptions'!$C$73,S65,R66,S67,S68))</f>
        <v>7.3772099320395803</v>
      </c>
      <c r="T13" s="691">
        <f>IF(T7=0,0,CHOOSE('Project Assumptions'!$C$73,T65,S66,T67,T68))</f>
        <v>7.4524007255776761</v>
      </c>
      <c r="U13" s="691">
        <f>IF(U7=0,0,CHOOSE('Project Assumptions'!$C$73,U65,T66,U67,U68))</f>
        <v>7.5254634777892226</v>
      </c>
      <c r="V13" s="691">
        <f>IF(V7=0,0,CHOOSE('Project Assumptions'!$C$73,V65,U66,V67,V68))</f>
        <v>7.4411782868379817</v>
      </c>
      <c r="W13" s="691">
        <f>IF(W7=0,0,CHOOSE('Project Assumptions'!$C$73,W65,V66,W67,W68))</f>
        <v>7.5047383513713903</v>
      </c>
      <c r="X13" s="691">
        <f>IF(X7=0,0,CHOOSE('Project Assumptions'!$C$73,X65,W66,X67,X68))</f>
        <v>0</v>
      </c>
      <c r="Y13" s="691">
        <f>IF(Y7=0,0,CHOOSE('Project Assumptions'!$C$73,Y65,X66,Y67,Y68))</f>
        <v>0</v>
      </c>
      <c r="Z13" s="691">
        <f>IF(Z7=0,0,CHOOSE('Project Assumptions'!$C$73,Z65,Y66,Z67,Z68))</f>
        <v>0</v>
      </c>
      <c r="AA13" s="820">
        <f>IF(AA7=0,0,CHOOSE('Project Assumptions'!$C$73,AA65,Z66,AA67,AA68))</f>
        <v>0</v>
      </c>
    </row>
    <row r="14" spans="1:27" s="34" customFormat="1" ht="12.6" customHeight="1" outlineLevel="1">
      <c r="A14" s="456" t="s">
        <v>353</v>
      </c>
      <c r="B14" s="526">
        <f>NPV(B15,C14:G14)</f>
        <v>3.6047762023450041</v>
      </c>
      <c r="C14" s="821">
        <v>1</v>
      </c>
      <c r="D14" s="822">
        <f>C14*(1+'Project Assumptions'!$I$30)</f>
        <v>1</v>
      </c>
      <c r="E14" s="822">
        <f>D14*(1+'Project Assumptions'!$I$30)</f>
        <v>1</v>
      </c>
      <c r="F14" s="822">
        <f>E14*(1+'Project Assumptions'!$I$30)</f>
        <v>1</v>
      </c>
      <c r="G14" s="822">
        <f>F14*(1+'Project Assumptions'!$I$30)</f>
        <v>1</v>
      </c>
      <c r="H14" s="822">
        <f>G14*(1+'Project Assumptions'!$I$30)</f>
        <v>1</v>
      </c>
      <c r="I14" s="822">
        <f>H14*(1+'Project Assumptions'!$I$30)</f>
        <v>1</v>
      </c>
      <c r="J14" s="822">
        <f>I14*(1+'Project Assumptions'!$I$30)</f>
        <v>1</v>
      </c>
      <c r="K14" s="822">
        <f>J14*(1+'Project Assumptions'!$I$30)</f>
        <v>1</v>
      </c>
      <c r="L14" s="822">
        <f>K14*(1+'Project Assumptions'!$I$30)</f>
        <v>1</v>
      </c>
      <c r="M14" s="822">
        <f>L14*(1+'Project Assumptions'!$I$30)</f>
        <v>1</v>
      </c>
      <c r="N14" s="822">
        <f>M14*(1+'Project Assumptions'!$I$30)</f>
        <v>1</v>
      </c>
      <c r="O14" s="822">
        <f>N14*(1+'Project Assumptions'!$I$30)</f>
        <v>1</v>
      </c>
      <c r="P14" s="822">
        <f>O14*(1+'Project Assumptions'!$I$30)</f>
        <v>1</v>
      </c>
      <c r="Q14" s="822">
        <f>P14*(1+'Project Assumptions'!$I$30)</f>
        <v>1</v>
      </c>
      <c r="R14" s="822">
        <f>Q14*(1+'Project Assumptions'!$I$30)</f>
        <v>1</v>
      </c>
      <c r="S14" s="822">
        <f>R14*(1+'Project Assumptions'!$I$30)</f>
        <v>1</v>
      </c>
      <c r="T14" s="822">
        <f>S14*(1+'Project Assumptions'!$I$30)</f>
        <v>1</v>
      </c>
      <c r="U14" s="822">
        <f>T14*(1+'Project Assumptions'!$I$30)</f>
        <v>1</v>
      </c>
      <c r="V14" s="822">
        <f>U14*(1+'Project Assumptions'!$I$30)</f>
        <v>1</v>
      </c>
      <c r="W14" s="822">
        <f>V14*(1+'Project Assumptions'!$I$30)</f>
        <v>1</v>
      </c>
      <c r="X14" s="822">
        <f>W14*(1+'Project Assumptions'!$I$30)</f>
        <v>1</v>
      </c>
      <c r="Y14" s="822">
        <f>X14*(1+'Project Assumptions'!$I$30)</f>
        <v>1</v>
      </c>
      <c r="Z14" s="822">
        <f>Y14*(1+'Project Assumptions'!$I$30)</f>
        <v>1</v>
      </c>
      <c r="AA14" s="998">
        <f>Z14*(1+'Project Assumptions'!$I$30)</f>
        <v>1</v>
      </c>
    </row>
    <row r="15" spans="1:27" s="34" customFormat="1" ht="12.6" customHeight="1" outlineLevel="1">
      <c r="A15" s="456" t="s">
        <v>115</v>
      </c>
      <c r="B15" s="442">
        <v>0.12</v>
      </c>
      <c r="C15" s="823">
        <v>0</v>
      </c>
      <c r="D15" s="688">
        <f>+C15</f>
        <v>0</v>
      </c>
      <c r="E15" s="688">
        <f t="shared" ref="E15:AA15" si="8">+D15</f>
        <v>0</v>
      </c>
      <c r="F15" s="688">
        <f t="shared" si="8"/>
        <v>0</v>
      </c>
      <c r="G15" s="688">
        <f t="shared" si="8"/>
        <v>0</v>
      </c>
      <c r="H15" s="688">
        <f t="shared" si="8"/>
        <v>0</v>
      </c>
      <c r="I15" s="688">
        <f t="shared" si="8"/>
        <v>0</v>
      </c>
      <c r="J15" s="688">
        <f t="shared" si="8"/>
        <v>0</v>
      </c>
      <c r="K15" s="688">
        <f t="shared" si="8"/>
        <v>0</v>
      </c>
      <c r="L15" s="688">
        <f t="shared" si="8"/>
        <v>0</v>
      </c>
      <c r="M15" s="688">
        <f t="shared" si="8"/>
        <v>0</v>
      </c>
      <c r="N15" s="688">
        <f t="shared" si="8"/>
        <v>0</v>
      </c>
      <c r="O15" s="688">
        <f t="shared" si="8"/>
        <v>0</v>
      </c>
      <c r="P15" s="688">
        <f t="shared" si="8"/>
        <v>0</v>
      </c>
      <c r="Q15" s="688">
        <f t="shared" si="8"/>
        <v>0</v>
      </c>
      <c r="R15" s="688">
        <f t="shared" si="8"/>
        <v>0</v>
      </c>
      <c r="S15" s="688">
        <f t="shared" si="8"/>
        <v>0</v>
      </c>
      <c r="T15" s="688">
        <f t="shared" si="8"/>
        <v>0</v>
      </c>
      <c r="U15" s="688">
        <f t="shared" si="8"/>
        <v>0</v>
      </c>
      <c r="V15" s="688">
        <f t="shared" si="8"/>
        <v>0</v>
      </c>
      <c r="W15" s="688">
        <f t="shared" si="8"/>
        <v>0</v>
      </c>
      <c r="X15" s="688">
        <f t="shared" si="8"/>
        <v>0</v>
      </c>
      <c r="Y15" s="688">
        <f t="shared" si="8"/>
        <v>0</v>
      </c>
      <c r="Z15" s="688">
        <f t="shared" si="8"/>
        <v>0</v>
      </c>
      <c r="AA15" s="824">
        <f t="shared" si="8"/>
        <v>0</v>
      </c>
    </row>
    <row r="16" spans="1:27" s="34" customFormat="1" ht="12.6" customHeight="1" outlineLevel="1">
      <c r="A16" s="456" t="s">
        <v>143</v>
      </c>
      <c r="B16" s="33"/>
      <c r="C16" s="823">
        <v>0</v>
      </c>
      <c r="D16" s="688">
        <f>+C16</f>
        <v>0</v>
      </c>
      <c r="E16" s="688">
        <f t="shared" ref="E16:AA16" si="9">+D16</f>
        <v>0</v>
      </c>
      <c r="F16" s="688">
        <f t="shared" si="9"/>
        <v>0</v>
      </c>
      <c r="G16" s="688">
        <f t="shared" si="9"/>
        <v>0</v>
      </c>
      <c r="H16" s="688">
        <f t="shared" si="9"/>
        <v>0</v>
      </c>
      <c r="I16" s="688">
        <f t="shared" si="9"/>
        <v>0</v>
      </c>
      <c r="J16" s="688">
        <f t="shared" si="9"/>
        <v>0</v>
      </c>
      <c r="K16" s="688">
        <f t="shared" si="9"/>
        <v>0</v>
      </c>
      <c r="L16" s="688">
        <f t="shared" si="9"/>
        <v>0</v>
      </c>
      <c r="M16" s="688">
        <f t="shared" si="9"/>
        <v>0</v>
      </c>
      <c r="N16" s="688">
        <f t="shared" si="9"/>
        <v>0</v>
      </c>
      <c r="O16" s="688">
        <f t="shared" si="9"/>
        <v>0</v>
      </c>
      <c r="P16" s="688">
        <f t="shared" si="9"/>
        <v>0</v>
      </c>
      <c r="Q16" s="688">
        <f t="shared" si="9"/>
        <v>0</v>
      </c>
      <c r="R16" s="688">
        <f t="shared" si="9"/>
        <v>0</v>
      </c>
      <c r="S16" s="688">
        <f t="shared" si="9"/>
        <v>0</v>
      </c>
      <c r="T16" s="688">
        <f t="shared" si="9"/>
        <v>0</v>
      </c>
      <c r="U16" s="688">
        <f t="shared" si="9"/>
        <v>0</v>
      </c>
      <c r="V16" s="688">
        <f t="shared" si="9"/>
        <v>0</v>
      </c>
      <c r="W16" s="688">
        <f t="shared" si="9"/>
        <v>0</v>
      </c>
      <c r="X16" s="688">
        <f t="shared" si="9"/>
        <v>0</v>
      </c>
      <c r="Y16" s="688">
        <f t="shared" si="9"/>
        <v>0</v>
      </c>
      <c r="Z16" s="688">
        <f t="shared" si="9"/>
        <v>0</v>
      </c>
      <c r="AA16" s="824">
        <f t="shared" si="9"/>
        <v>0</v>
      </c>
    </row>
    <row r="17" spans="1:27" s="34" customFormat="1" ht="12.6" hidden="1" customHeight="1" outlineLevel="1">
      <c r="A17" s="420" t="s">
        <v>354</v>
      </c>
      <c r="B17" s="33"/>
      <c r="C17" s="688"/>
      <c r="D17" s="688"/>
      <c r="E17" s="688"/>
      <c r="F17" s="688"/>
      <c r="G17" s="688"/>
      <c r="H17" s="688"/>
      <c r="I17" s="688"/>
      <c r="J17" s="688"/>
      <c r="K17" s="688"/>
      <c r="L17" s="688"/>
      <c r="M17" s="688"/>
      <c r="N17" s="688"/>
      <c r="O17" s="688"/>
      <c r="P17" s="688"/>
      <c r="Q17" s="688"/>
      <c r="R17" s="688"/>
      <c r="S17" s="825">
        <v>0</v>
      </c>
      <c r="T17" s="826">
        <f>S17</f>
        <v>0</v>
      </c>
      <c r="U17" s="826">
        <f>T17</f>
        <v>0</v>
      </c>
      <c r="V17" s="826">
        <f>U17</f>
        <v>0</v>
      </c>
      <c r="W17" s="826"/>
      <c r="X17" s="826"/>
      <c r="Y17" s="826"/>
      <c r="Z17" s="826"/>
      <c r="AA17" s="827"/>
    </row>
    <row r="18" spans="1:27" s="34" customFormat="1" ht="12.6" hidden="1" customHeight="1" outlineLevel="1">
      <c r="A18" s="420" t="s">
        <v>115</v>
      </c>
      <c r="B18" s="33"/>
      <c r="C18" s="688"/>
      <c r="D18" s="688"/>
      <c r="E18" s="688"/>
      <c r="F18" s="688"/>
      <c r="G18" s="688"/>
      <c r="H18" s="688"/>
      <c r="I18" s="688"/>
      <c r="J18" s="688"/>
      <c r="K18" s="688"/>
      <c r="L18" s="688"/>
      <c r="M18" s="688"/>
      <c r="N18" s="688"/>
      <c r="O18" s="688"/>
      <c r="P18" s="688"/>
      <c r="Q18" s="688"/>
      <c r="R18" s="823">
        <v>0</v>
      </c>
      <c r="S18" s="688">
        <f>+R18</f>
        <v>0</v>
      </c>
      <c r="T18" s="688">
        <f t="shared" ref="T18:V19" si="10">+S18</f>
        <v>0</v>
      </c>
      <c r="U18" s="688">
        <f t="shared" si="10"/>
        <v>0</v>
      </c>
      <c r="V18" s="688">
        <f t="shared" si="10"/>
        <v>0</v>
      </c>
      <c r="W18" s="688"/>
      <c r="X18" s="688"/>
      <c r="Y18" s="688"/>
      <c r="Z18" s="688"/>
      <c r="AA18" s="824"/>
    </row>
    <row r="19" spans="1:27" s="34" customFormat="1" ht="12.6" hidden="1" customHeight="1" outlineLevel="1">
      <c r="A19" s="420" t="s">
        <v>143</v>
      </c>
      <c r="B19" s="33"/>
      <c r="C19" s="688"/>
      <c r="D19" s="688"/>
      <c r="E19" s="688"/>
      <c r="F19" s="688"/>
      <c r="G19" s="688"/>
      <c r="H19" s="688"/>
      <c r="I19" s="688"/>
      <c r="J19" s="688"/>
      <c r="K19" s="688"/>
      <c r="L19" s="688"/>
      <c r="M19" s="688"/>
      <c r="N19" s="688"/>
      <c r="O19" s="688"/>
      <c r="P19" s="688"/>
      <c r="Q19" s="688"/>
      <c r="R19" s="823">
        <v>0</v>
      </c>
      <c r="S19" s="688">
        <f>+R19</f>
        <v>0</v>
      </c>
      <c r="T19" s="688">
        <f t="shared" si="10"/>
        <v>0</v>
      </c>
      <c r="U19" s="688">
        <f t="shared" si="10"/>
        <v>0</v>
      </c>
      <c r="V19" s="688">
        <f t="shared" si="10"/>
        <v>0</v>
      </c>
      <c r="W19" s="688"/>
      <c r="X19" s="688"/>
      <c r="Y19" s="688"/>
      <c r="Z19" s="688"/>
      <c r="AA19" s="824"/>
    </row>
    <row r="20" spans="1:27" s="34" customFormat="1" ht="12.6" customHeight="1" collapsed="1">
      <c r="A20" s="420"/>
      <c r="B20" s="33"/>
      <c r="C20" s="688"/>
      <c r="D20" s="688"/>
      <c r="E20" s="688"/>
      <c r="F20" s="688"/>
      <c r="G20" s="688"/>
      <c r="H20" s="688"/>
      <c r="I20" s="688"/>
      <c r="J20" s="688"/>
      <c r="K20" s="688"/>
      <c r="L20" s="688"/>
      <c r="M20" s="688"/>
      <c r="N20" s="688"/>
      <c r="O20" s="688"/>
      <c r="P20" s="688"/>
      <c r="Q20" s="688"/>
      <c r="R20" s="688"/>
      <c r="S20" s="688"/>
      <c r="T20" s="688"/>
      <c r="U20" s="688"/>
      <c r="V20" s="688"/>
      <c r="W20" s="688"/>
      <c r="X20" s="688"/>
      <c r="Y20" s="688"/>
      <c r="Z20" s="688"/>
      <c r="AA20" s="824"/>
    </row>
    <row r="21" spans="1:27" s="33" customFormat="1" ht="15.75">
      <c r="A21" s="666" t="s">
        <v>336</v>
      </c>
      <c r="AA21" s="414"/>
    </row>
    <row r="22" spans="1:27" s="353" customFormat="1" ht="12.6" customHeight="1">
      <c r="A22" s="359" t="s">
        <v>337</v>
      </c>
      <c r="B22" s="363"/>
      <c r="C22" s="828">
        <f>IF(C3&gt;ProjectLife+1,0,('Book Income Statement'!D18/Operations!C30*1000))</f>
        <v>56.694253837719295</v>
      </c>
      <c r="D22" s="828">
        <f>IF(D3&gt;ProjectLife+1,0,('Book Income Statement'!E18/Operations!D30*1000))</f>
        <v>73.463773119517541</v>
      </c>
      <c r="E22" s="828">
        <f>IF(E3&gt;ProjectLife+1,0,('Book Income Statement'!F18/Operations!E30*1000))</f>
        <v>73.56971131310307</v>
      </c>
      <c r="F22" s="828">
        <f>IF(F3&gt;ProjectLife+1,0,('Book Income Statement'!G18/Operations!F30*1000))</f>
        <v>85.197355143980147</v>
      </c>
      <c r="G22" s="828">
        <f>IF(G3&gt;ProjectLife+1,0,('Book Income Statement'!H18/Operations!G30*1000))</f>
        <v>94.249572320738181</v>
      </c>
      <c r="H22" s="828">
        <f>IF(H3&gt;ProjectLife+1,0,('Book Income Statement'!I18/Operations!H30*1000))</f>
        <v>96.178484490360319</v>
      </c>
      <c r="I22" s="828">
        <f>IF(I3&gt;ProjectLife+1,0,('Book Income Statement'!J18/Operations!I30*1000))</f>
        <v>96.096206225471349</v>
      </c>
      <c r="J22" s="828">
        <f>IF(J3&gt;ProjectLife+1,0,('Book Income Statement'!K18/Operations!J30*1000))</f>
        <v>97.014952645441596</v>
      </c>
      <c r="K22" s="828">
        <f>IF(K3&gt;ProjectLife+1,0,('Book Income Statement'!L18/Operations!K30*1000))</f>
        <v>97.929294515007143</v>
      </c>
      <c r="L22" s="828">
        <f>IF(L3&gt;ProjectLife+1,0,('Book Income Statement'!M18/Operations!L30*1000))</f>
        <v>98.838140689365716</v>
      </c>
      <c r="M22" s="828">
        <f>IF(M3&gt;ProjectLife+1,0,('Book Income Statement'!N18/Operations!M30*1000))</f>
        <v>99.740338519122318</v>
      </c>
      <c r="N22" s="828">
        <f>IF(N3&gt;ProjectLife+1,0,('Book Income Statement'!O18/Operations!N30*1000))</f>
        <v>100.63467114204387</v>
      </c>
      <c r="O22" s="828">
        <f>IF(O3&gt;ProjectLife+1,0,('Book Income Statement'!P18/Operations!O30*1000))</f>
        <v>101.5198546676735</v>
      </c>
      <c r="P22" s="828">
        <f>IF(P3&gt;ProjectLife+1,0,('Book Income Statement'!Q18/Operations!P30*1000))</f>
        <v>102.39453525081309</v>
      </c>
      <c r="Q22" s="828">
        <f>IF(Q3&gt;ProjectLife+1,0,('Book Income Statement'!R18/Operations!Q30*1000))</f>
        <v>103.25728604974015</v>
      </c>
      <c r="R22" s="828">
        <f>IF(R3&gt;ProjectLife+1,0,('Book Income Statement'!S18/Operations!R30*1000))</f>
        <v>104.10660406487709</v>
      </c>
      <c r="S22" s="828">
        <f>IF(S3&gt;ProjectLife+1,0,('Book Income Statement'!T18/Operations!S30*1000))</f>
        <v>104.94090685347744</v>
      </c>
      <c r="T22" s="828">
        <f>IF(T3&gt;ProjectLife+1,0,('Book Income Statement'!U18/Operations!T30*1000))</f>
        <v>105.75852911573548</v>
      </c>
      <c r="U22" s="828">
        <f>IF(U3&gt;ProjectLife+1,0,('Book Income Statement'!V18/Operations!U30*1000))</f>
        <v>106.55771914756087</v>
      </c>
      <c r="V22" s="828">
        <f>IF(V3&gt;ProjectLife+1,0,('Book Income Statement'!W18/Operations!V30*1000))</f>
        <v>105.81739458819548</v>
      </c>
      <c r="W22" s="828">
        <f>IF(W3&gt;ProjectLife+1,0,('Book Income Statement'!X18/Operations!W30*1000))</f>
        <v>107.6235893896486</v>
      </c>
      <c r="X22" s="828">
        <f>IF(X3&gt;ProjectLife+1,0,('Book Income Statement'!Y18/Operations!X30*1000))</f>
        <v>0</v>
      </c>
      <c r="Y22" s="828">
        <f>IF(Y3&gt;ProjectLife+1,0,('Book Income Statement'!Z18/Operations!Y30*1000))</f>
        <v>0</v>
      </c>
      <c r="Z22" s="828">
        <f>IF(Z3&gt;ProjectLife+1,0,('Book Income Statement'!AA18/Operations!Z30*1000))</f>
        <v>0</v>
      </c>
      <c r="AA22" s="829">
        <f>IF(AA3&gt;ProjectLife+1,0,('Book Income Statement'!AB18/Operations!AA30*1000))</f>
        <v>0</v>
      </c>
    </row>
    <row r="23" spans="1:27" s="353" customFormat="1" ht="12.6" customHeight="1">
      <c r="A23" s="800"/>
      <c r="B23" s="363"/>
      <c r="C23" s="828"/>
      <c r="D23" s="828"/>
      <c r="E23" s="828"/>
      <c r="F23" s="828"/>
      <c r="G23" s="828"/>
      <c r="H23" s="828"/>
      <c r="I23" s="828"/>
      <c r="J23" s="828"/>
      <c r="K23" s="828"/>
      <c r="L23" s="828"/>
      <c r="M23" s="828"/>
      <c r="N23" s="828"/>
      <c r="O23" s="828"/>
      <c r="P23" s="828"/>
      <c r="Q23" s="828"/>
      <c r="R23" s="828"/>
      <c r="S23" s="828"/>
      <c r="T23" s="828"/>
      <c r="U23" s="828"/>
      <c r="V23" s="828"/>
      <c r="W23" s="828"/>
      <c r="X23" s="828"/>
      <c r="Y23" s="828"/>
      <c r="Z23" s="828"/>
      <c r="AA23" s="829"/>
    </row>
    <row r="24" spans="1:27" s="353" customFormat="1" ht="12.6" customHeight="1">
      <c r="A24" s="359" t="s">
        <v>91</v>
      </c>
      <c r="B24" s="363"/>
      <c r="C24" s="830">
        <f>IF(C3&gt;ProjectLife+1,0,IF(Operations!C30=0,0,(Operations!C33*Operations!C43)/Operations!C30*1000))</f>
        <v>29.932500000000001</v>
      </c>
      <c r="D24" s="830">
        <f>IF(D3&gt;ProjectLife+1,0,IF(Operations!D30=0,0,(Operations!D33*Operations!D43)/Operations!D30*1000))</f>
        <v>29.932500000000001</v>
      </c>
      <c r="E24" s="830">
        <f>IF(E3&gt;ProjectLife+1,0,IF(Operations!E30=0,0,(Operations!E33*Operations!E43)/Operations!E30*1000))</f>
        <v>29.932500000000001</v>
      </c>
      <c r="F24" s="830">
        <f>IF(F3&gt;ProjectLife+1,0,IF(Operations!F30=0,0,(Operations!F33*Operations!F43)/Operations!F30*1000))</f>
        <v>29.932500000000001</v>
      </c>
      <c r="G24" s="830">
        <f>IF(G3&gt;ProjectLife+1,0,IF(Operations!G30=0,0,(Operations!G33*Operations!G43)/Operations!G30*1000))</f>
        <v>29.932500000000005</v>
      </c>
      <c r="H24" s="830">
        <f>IF(H3&gt;ProjectLife+1,0,IF(Operations!H30=0,0,(Operations!H33*Operations!H43)/Operations!H30*1000))</f>
        <v>29.932500000000005</v>
      </c>
      <c r="I24" s="830">
        <f>IF(I3&gt;ProjectLife+1,0,IF(Operations!I30=0,0,(Operations!I33*Operations!I43)/Operations!I30*1000))</f>
        <v>29.932500000000005</v>
      </c>
      <c r="J24" s="830">
        <f>IF(J3&gt;ProjectLife+1,0,IF(Operations!J30=0,0,(Operations!J33*Operations!J43)/Operations!J30*1000))</f>
        <v>29.932500000000005</v>
      </c>
      <c r="K24" s="830">
        <f>IF(K3&gt;ProjectLife+1,0,IF(Operations!K30=0,0,(Operations!K33*Operations!K43)/Operations!K30*1000))</f>
        <v>29.932500000000005</v>
      </c>
      <c r="L24" s="830">
        <f>IF(L3&gt;ProjectLife+1,0,IF(Operations!L30=0,0,(Operations!L33*Operations!L43)/Operations!L30*1000))</f>
        <v>29.932500000000005</v>
      </c>
      <c r="M24" s="830">
        <f>IF(M3&gt;ProjectLife+1,0,IF(Operations!M30=0,0,(Operations!M33*Operations!M43)/Operations!M30*1000))</f>
        <v>29.932500000000005</v>
      </c>
      <c r="N24" s="830">
        <f>IF(N3&gt;ProjectLife+1,0,IF(Operations!N30=0,0,(Operations!N33*Operations!N43)/Operations!N30*1000))</f>
        <v>29.932500000000005</v>
      </c>
      <c r="O24" s="830">
        <f>IF(O3&gt;ProjectLife+1,0,IF(Operations!O30=0,0,(Operations!O33*Operations!O43)/Operations!O30*1000))</f>
        <v>29.932500000000005</v>
      </c>
      <c r="P24" s="830">
        <f>IF(P3&gt;ProjectLife+1,0,IF(Operations!P30=0,0,(Operations!P33*Operations!P43)/Operations!P30*1000))</f>
        <v>29.932500000000005</v>
      </c>
      <c r="Q24" s="830">
        <f>IF(Q3&gt;ProjectLife+1,0,IF(Operations!Q30=0,0,(Operations!Q33*Operations!Q43)/Operations!Q30*1000))</f>
        <v>29.932500000000005</v>
      </c>
      <c r="R24" s="830">
        <f>IF(R3&gt;ProjectLife+1,0,IF(Operations!R30=0,0,(Operations!R33*Operations!R43)/Operations!R30*1000))</f>
        <v>29.932500000000005</v>
      </c>
      <c r="S24" s="830">
        <f>IF(S3&gt;ProjectLife+1,0,IF(Operations!S30=0,0,(Operations!S33*Operations!S43)/Operations!S30*1000))</f>
        <v>29.932500000000005</v>
      </c>
      <c r="T24" s="830">
        <f>IF(T3&gt;ProjectLife+1,0,IF(Operations!T30=0,0,(Operations!T33*Operations!T43)/Operations!T30*1000))</f>
        <v>29.932500000000005</v>
      </c>
      <c r="U24" s="830">
        <f>IF(U3&gt;ProjectLife+1,0,IF(Operations!U30=0,0,(Operations!U33*Operations!U43)/Operations!U30*1000))</f>
        <v>29.932500000000005</v>
      </c>
      <c r="V24" s="830">
        <f>IF(V3&gt;ProjectLife+1,0,IF(Operations!V30=0,0,(Operations!V33*Operations!V43)/Operations!V30*1000))</f>
        <v>29.932500000000005</v>
      </c>
      <c r="W24" s="830">
        <f>IF(W3&gt;ProjectLife+1,0,IF(Operations!W30=0,0,(Operations!W33*Operations!W43)/Operations!W30*1000))</f>
        <v>29.932499999999997</v>
      </c>
      <c r="X24" s="830">
        <f>IF(X3&gt;ProjectLife+1,0,IF(Operations!X30=0,0,(Operations!X33*Operations!X43)/Operations!X30*1000))</f>
        <v>0</v>
      </c>
      <c r="Y24" s="830">
        <f>IF(Y3&gt;ProjectLife+1,0,IF(Operations!Y30=0,0,(Operations!Y33*Operations!Y43)/Operations!Y30*1000))</f>
        <v>0</v>
      </c>
      <c r="Z24" s="830">
        <f>IF(Z3&gt;ProjectLife+1,0,IF(Operations!Z30=0,0,(Operations!Z33*Operations!Z43)/Operations!Z30*1000))</f>
        <v>0</v>
      </c>
      <c r="AA24" s="831">
        <f>IF(AA3&gt;ProjectLife+1,0,IF(Operations!AA30=0,0,(Operations!AA33*Operations!AA43)/Operations!AA30*1000))</f>
        <v>0</v>
      </c>
    </row>
    <row r="25" spans="1:27" s="353" customFormat="1" ht="12.6" customHeight="1">
      <c r="A25" s="359" t="s">
        <v>149</v>
      </c>
      <c r="B25" s="363"/>
      <c r="C25" s="832">
        <f>IF(C3&gt;ProjectLife+1,0,IF(Operations!C30=0,0,VEP*((1+VEP_ESCAL)^('PPA Assumptions &amp;Summary'!C4-BaseYr))))</f>
        <v>0.88865734649122818</v>
      </c>
      <c r="D25" s="832">
        <f>IF(D3&gt;ProjectLife+1,0,IF(Operations!D30=0,0,VEP*((1+VEP_ESCAL)^('PPA Assumptions &amp;Summary'!D4-BaseYr))))</f>
        <v>0.91531706688596493</v>
      </c>
      <c r="E25" s="832">
        <f>IF(E3&gt;ProjectLife+1,0,IF(Operations!E30=0,0,VEP*((1+VEP_ESCAL)^('PPA Assumptions &amp;Summary'!E4-BaseYr))))</f>
        <v>0.94277657889254396</v>
      </c>
      <c r="F25" s="832">
        <f>IF(F3&gt;ProjectLife+1,0,IF(Operations!F30=0,0,VEP*((1+VEP_ESCAL)^('PPA Assumptions &amp;Summary'!F4-BaseYr))))</f>
        <v>0.97105987625932011</v>
      </c>
      <c r="G25" s="832">
        <f>IF(G3&gt;ProjectLife+1,0,IF(Operations!G30=0,0,VEP*((1+VEP_ESCAL)^('PPA Assumptions &amp;Summary'!G4-BaseYr))))</f>
        <v>1.0001916725470996</v>
      </c>
      <c r="H25" s="832">
        <f>IF(H3&gt;ProjectLife+1,0,IF(Operations!H30=0,0,VEP*((1+VEP_ESCAL)^('PPA Assumptions &amp;Summary'!H4-BaseYr))))</f>
        <v>1.0301974227235127</v>
      </c>
      <c r="I25" s="832">
        <f>IF(I3&gt;ProjectLife+1,0,IF(Operations!I30=0,0,VEP*((1+VEP_ESCAL)^('PPA Assumptions &amp;Summary'!I4-BaseYr))))</f>
        <v>1.0611033454052181</v>
      </c>
      <c r="J25" s="832">
        <f>IF(J3&gt;ProjectLife+1,0,IF(Operations!J30=0,0,VEP*((1+VEP_ESCAL)^('PPA Assumptions &amp;Summary'!J4-BaseYr))))</f>
        <v>1.0929364457673747</v>
      </c>
      <c r="K25" s="832">
        <f>IF(K3&gt;ProjectLife+1,0,IF(Operations!K30=0,0,VEP*((1+VEP_ESCAL)^('PPA Assumptions &amp;Summary'!K4-BaseYr))))</f>
        <v>1.1257245391403958</v>
      </c>
      <c r="L25" s="832">
        <f>IF(L3&gt;ProjectLife+1,0,IF(Operations!L30=0,0,VEP*((1+VEP_ESCAL)^('PPA Assumptions &amp;Summary'!L4-BaseYr))))</f>
        <v>1.1594962753146079</v>
      </c>
      <c r="M25" s="832">
        <f>IF(M3&gt;ProjectLife+1,0,IF(Operations!M30=0,0,VEP*((1+VEP_ESCAL)^('PPA Assumptions &amp;Summary'!M4-BaseYr))))</f>
        <v>1.194281163574046</v>
      </c>
      <c r="N25" s="832">
        <f>IF(N3&gt;ProjectLife+1,0,IF(Operations!N30=0,0,VEP*((1+VEP_ESCAL)^('PPA Assumptions &amp;Summary'!N4-BaseYr))))</f>
        <v>1.2301095984812673</v>
      </c>
      <c r="O25" s="832">
        <f>IF(O3&gt;ProjectLife+1,0,IF(Operations!O30=0,0,VEP*((1+VEP_ESCAL)^('PPA Assumptions &amp;Summary'!O4-BaseYr))))</f>
        <v>1.2670128864357051</v>
      </c>
      <c r="P25" s="832">
        <f>IF(P3&gt;ProjectLife+1,0,IF(Operations!P30=0,0,VEP*((1+VEP_ESCAL)^('PPA Assumptions &amp;Summary'!P4-BaseYr))))</f>
        <v>1.3050232730287765</v>
      </c>
      <c r="Q25" s="832">
        <f>IF(Q3&gt;ProjectLife+1,0,IF(Operations!Q30=0,0,VEP*((1+VEP_ESCAL)^('PPA Assumptions &amp;Summary'!Q4-BaseYr))))</f>
        <v>1.3441739712196399</v>
      </c>
      <c r="R25" s="832">
        <f>IF(R3&gt;ProjectLife+1,0,IF(Operations!R30=0,0,VEP*((1+VEP_ESCAL)^('PPA Assumptions &amp;Summary'!R4-BaseYr))))</f>
        <v>1.3844991903562289</v>
      </c>
      <c r="S25" s="832">
        <f>IF(S3&gt;ProjectLife+1,0,IF(Operations!S30=0,0,VEP*((1+VEP_ESCAL)^('PPA Assumptions &amp;Summary'!S4-BaseYr))))</f>
        <v>1.4260341660669158</v>
      </c>
      <c r="T25" s="832">
        <f>IF(T3&gt;ProjectLife+1,0,IF(Operations!T30=0,0,VEP*((1+VEP_ESCAL)^('PPA Assumptions &amp;Summary'!T4-BaseYr))))</f>
        <v>1.4688151910489231</v>
      </c>
      <c r="U25" s="832">
        <f>IF(U3&gt;ProjectLife+1,0,IF(Operations!U30=0,0,VEP*((1+VEP_ESCAL)^('PPA Assumptions &amp;Summary'!U4-BaseYr))))</f>
        <v>1.5128796467803909</v>
      </c>
      <c r="V25" s="832">
        <f>IF(V3&gt;ProjectLife+1,0,IF(Operations!V30=0,0,VEP*((1+VEP_ESCAL)^('PPA Assumptions &amp;Summary'!V4-BaseYr))))</f>
        <v>1.5582660361838025</v>
      </c>
      <c r="W25" s="832">
        <f>IF(W3&gt;ProjectLife+1,0,IF(Operations!W30=0,0,VEP*((1+VEP_ESCAL)^('PPA Assumptions &amp;Summary'!W4-BaseYr))))</f>
        <v>1.6050140172693164</v>
      </c>
      <c r="X25" s="832">
        <f>IF(X3&gt;ProjectLife+1,0,IF(Operations!X30=0,0,VEP*((1+VEP_ESCAL)^('PPA Assumptions &amp;Summary'!X4-BaseYr))))</f>
        <v>0</v>
      </c>
      <c r="Y25" s="832">
        <f>IF(Y3&gt;ProjectLife+1,0,IF(Operations!Y30=0,0,VEP*((1+VEP_ESCAL)^('PPA Assumptions &amp;Summary'!Y4-BaseYr))))</f>
        <v>0</v>
      </c>
      <c r="Z25" s="832">
        <f>IF(Z3&gt;ProjectLife+1,0,IF(Operations!Z30=0,0,VEP*((1+VEP_ESCAL)^('PPA Assumptions &amp;Summary'!Z4-BaseYr))))</f>
        <v>0</v>
      </c>
      <c r="AA25" s="999">
        <f>IF(AA3&gt;ProjectLife+1,0,IF(Operations!AA30=0,0,VEP*((1+VEP_ESCAL)^('PPA Assumptions &amp;Summary'!AA4-BaseYr))))</f>
        <v>0</v>
      </c>
    </row>
    <row r="26" spans="1:27" s="353" customFormat="1" ht="12.6" customHeight="1">
      <c r="A26" s="781" t="s">
        <v>144</v>
      </c>
      <c r="B26" s="350"/>
      <c r="C26" s="833">
        <f t="shared" ref="C26:AA26" si="11">IF(C3&gt;ProjectLife+1,0,SUM(C24:C25))</f>
        <v>30.82115734649123</v>
      </c>
      <c r="D26" s="833">
        <f t="shared" si="11"/>
        <v>30.847817066885966</v>
      </c>
      <c r="E26" s="833">
        <f t="shared" si="11"/>
        <v>30.875276578892546</v>
      </c>
      <c r="F26" s="833">
        <f t="shared" si="11"/>
        <v>30.903559876259322</v>
      </c>
      <c r="G26" s="833">
        <f t="shared" si="11"/>
        <v>30.932691672547104</v>
      </c>
      <c r="H26" s="833">
        <f t="shared" si="11"/>
        <v>30.962697422723519</v>
      </c>
      <c r="I26" s="833">
        <f t="shared" si="11"/>
        <v>30.993603345405223</v>
      </c>
      <c r="J26" s="833">
        <f t="shared" si="11"/>
        <v>31.025436445767379</v>
      </c>
      <c r="K26" s="833">
        <f t="shared" si="11"/>
        <v>31.058224539140401</v>
      </c>
      <c r="L26" s="833">
        <f t="shared" si="11"/>
        <v>31.091996275314614</v>
      </c>
      <c r="M26" s="833">
        <f t="shared" si="11"/>
        <v>31.126781163574051</v>
      </c>
      <c r="N26" s="833">
        <f t="shared" si="11"/>
        <v>31.162609598481271</v>
      </c>
      <c r="O26" s="833">
        <f t="shared" si="11"/>
        <v>31.199512886435709</v>
      </c>
      <c r="P26" s="833">
        <f t="shared" si="11"/>
        <v>31.237523273028781</v>
      </c>
      <c r="Q26" s="833">
        <f t="shared" si="11"/>
        <v>31.276673971219644</v>
      </c>
      <c r="R26" s="833">
        <f t="shared" si="11"/>
        <v>31.316999190356235</v>
      </c>
      <c r="S26" s="833">
        <f t="shared" si="11"/>
        <v>31.358534166066921</v>
      </c>
      <c r="T26" s="833">
        <f t="shared" si="11"/>
        <v>31.401315191048926</v>
      </c>
      <c r="U26" s="833">
        <f t="shared" si="11"/>
        <v>31.445379646780395</v>
      </c>
      <c r="V26" s="833">
        <f t="shared" si="11"/>
        <v>31.490766036183807</v>
      </c>
      <c r="W26" s="833">
        <f t="shared" si="11"/>
        <v>31.537514017269313</v>
      </c>
      <c r="X26" s="833">
        <f t="shared" si="11"/>
        <v>0</v>
      </c>
      <c r="Y26" s="833">
        <f t="shared" si="11"/>
        <v>0</v>
      </c>
      <c r="Z26" s="833">
        <f t="shared" si="11"/>
        <v>0</v>
      </c>
      <c r="AA26" s="834">
        <f t="shared" si="11"/>
        <v>0</v>
      </c>
    </row>
    <row r="27" spans="1:27" s="353" customFormat="1" ht="12.6" customHeight="1">
      <c r="A27" s="377"/>
      <c r="C27" s="690"/>
      <c r="D27" s="690"/>
      <c r="E27" s="690"/>
      <c r="F27" s="690"/>
      <c r="G27" s="690"/>
      <c r="H27" s="690"/>
      <c r="I27" s="690"/>
      <c r="J27" s="690"/>
      <c r="K27" s="690"/>
      <c r="L27" s="690"/>
      <c r="M27" s="690"/>
      <c r="N27" s="690"/>
      <c r="O27" s="690"/>
      <c r="P27" s="690"/>
      <c r="Q27" s="690"/>
      <c r="R27" s="690"/>
      <c r="S27" s="690"/>
      <c r="T27" s="690"/>
      <c r="U27" s="690"/>
      <c r="V27" s="690"/>
      <c r="W27" s="690"/>
      <c r="X27" s="690"/>
      <c r="Y27" s="690"/>
      <c r="Z27" s="690"/>
      <c r="AA27" s="690"/>
    </row>
    <row r="28" spans="1:27" s="33" customFormat="1" ht="15.75">
      <c r="A28" s="675" t="s">
        <v>166</v>
      </c>
      <c r="B28" s="835"/>
      <c r="C28" s="835"/>
      <c r="D28" s="835"/>
      <c r="E28" s="835"/>
      <c r="F28" s="835"/>
      <c r="G28" s="835"/>
      <c r="H28" s="835"/>
      <c r="I28" s="835"/>
      <c r="J28" s="835"/>
      <c r="K28" s="835"/>
      <c r="L28" s="835"/>
      <c r="M28" s="835"/>
      <c r="N28" s="835"/>
      <c r="O28" s="835"/>
      <c r="P28" s="835"/>
      <c r="Q28" s="835"/>
      <c r="R28" s="835"/>
      <c r="S28" s="835"/>
      <c r="T28" s="835"/>
      <c r="U28" s="835"/>
      <c r="V28" s="835"/>
      <c r="W28" s="835"/>
      <c r="X28" s="835"/>
      <c r="Y28" s="835"/>
      <c r="Z28" s="835"/>
      <c r="AA28" s="836"/>
    </row>
    <row r="29" spans="1:27" s="33" customFormat="1" ht="11.25">
      <c r="A29" s="418" t="s">
        <v>497</v>
      </c>
      <c r="B29" s="263" t="s">
        <v>363</v>
      </c>
      <c r="C29" s="263"/>
      <c r="D29" s="263"/>
      <c r="E29" s="263"/>
      <c r="F29" s="263"/>
      <c r="G29" s="263"/>
      <c r="H29" s="263"/>
      <c r="I29" s="263"/>
      <c r="J29" s="263"/>
      <c r="K29" s="263"/>
      <c r="L29" s="263"/>
      <c r="M29" s="263"/>
      <c r="N29" s="263"/>
      <c r="O29" s="263"/>
      <c r="P29" s="263"/>
      <c r="Q29" s="263"/>
      <c r="R29" s="263"/>
      <c r="S29" s="263"/>
      <c r="T29" s="263"/>
      <c r="U29" s="263"/>
      <c r="V29" s="263"/>
      <c r="W29" s="263"/>
      <c r="X29" s="263"/>
      <c r="Y29" s="263"/>
      <c r="Z29" s="263"/>
      <c r="AA29" s="777"/>
    </row>
    <row r="30" spans="1:27">
      <c r="A30" s="420" t="s">
        <v>552</v>
      </c>
      <c r="B30" s="837">
        <f t="shared" ref="B30:B35" si="12">AVERAGE(C30:V30)</f>
        <v>926.7181319673025</v>
      </c>
      <c r="C30" s="364">
        <f>'Book Income Statement'!D29</f>
        <v>648.36440000000005</v>
      </c>
      <c r="D30" s="364">
        <f>'Book Income Statement'!E29</f>
        <v>667.81533200000001</v>
      </c>
      <c r="E30" s="364">
        <f>'Book Income Statement'!F29</f>
        <v>687.84979195999995</v>
      </c>
      <c r="F30" s="364">
        <f>'Book Income Statement'!G29</f>
        <v>742.48610084549455</v>
      </c>
      <c r="G30" s="364">
        <f>'Book Income Statement'!H29</f>
        <v>783.24849846495761</v>
      </c>
      <c r="H30" s="364">
        <f>'Book Income Statement'!I29</f>
        <v>806.74595341890642</v>
      </c>
      <c r="I30" s="364">
        <f>'Book Income Statement'!J29</f>
        <v>830.94833202147356</v>
      </c>
      <c r="J30" s="364">
        <f>'Book Income Statement'!K29</f>
        <v>855.87678198211779</v>
      </c>
      <c r="K30" s="364">
        <f>'Book Income Statement'!L29</f>
        <v>881.5530854415814</v>
      </c>
      <c r="L30" s="364">
        <f>'Book Income Statement'!M29</f>
        <v>907.99967800482875</v>
      </c>
      <c r="M30" s="364">
        <f>'Book Income Statement'!N29</f>
        <v>935.23966834497367</v>
      </c>
      <c r="N30" s="364">
        <f>'Book Income Statement'!O29</f>
        <v>963.29685839532283</v>
      </c>
      <c r="O30" s="364">
        <f>'Book Income Statement'!P29</f>
        <v>992.19576414718244</v>
      </c>
      <c r="P30" s="364">
        <f>'Book Income Statement'!Q29</f>
        <v>1021.961637071598</v>
      </c>
      <c r="Q30" s="364">
        <f>'Book Income Statement'!R29</f>
        <v>1052.6204861837459</v>
      </c>
      <c r="R30" s="364">
        <f>'Book Income Statement'!S29</f>
        <v>1084.1991007692582</v>
      </c>
      <c r="S30" s="364">
        <f>'Book Income Statement'!T29</f>
        <v>1116.7250737923359</v>
      </c>
      <c r="T30" s="364">
        <f>'Book Income Statement'!U29</f>
        <v>1150.226826006106</v>
      </c>
      <c r="U30" s="364">
        <f>'Book Income Statement'!V29</f>
        <v>1184.733630786289</v>
      </c>
      <c r="V30" s="364">
        <f>'Book Income Statement'!W29</f>
        <v>1220.2756397098779</v>
      </c>
      <c r="W30" s="364">
        <f>'Book Income Statement'!X29</f>
        <v>529.8114810437587</v>
      </c>
      <c r="X30" s="364">
        <f>'Book Income Statement'!Y29</f>
        <v>0</v>
      </c>
      <c r="Y30" s="364">
        <f>'Book Income Statement'!Z29</f>
        <v>0</v>
      </c>
      <c r="Z30" s="364">
        <f>'Book Income Statement'!AA29</f>
        <v>0</v>
      </c>
      <c r="AA30" s="365"/>
    </row>
    <row r="31" spans="1:27">
      <c r="A31" s="420" t="s">
        <v>551</v>
      </c>
      <c r="B31" s="838">
        <f t="shared" si="12"/>
        <v>2489.5552438137533</v>
      </c>
      <c r="C31" s="364">
        <f>'Book Income Statement'!D36</f>
        <v>1853.0111999999999</v>
      </c>
      <c r="D31" s="364">
        <f>'Book Income Statement'!E36</f>
        <v>1908.6015359999999</v>
      </c>
      <c r="E31" s="364">
        <f>'Book Income Statement'!F36</f>
        <v>1965.8595820800001</v>
      </c>
      <c r="F31" s="364">
        <f>'Book Income Statement'!G36</f>
        <v>2024.8353695423998</v>
      </c>
      <c r="G31" s="364">
        <f>'Book Income Statement'!H36</f>
        <v>2085.5804306286718</v>
      </c>
      <c r="H31" s="364">
        <f>'Book Income Statement'!I36</f>
        <v>2148.1478435475319</v>
      </c>
      <c r="I31" s="364">
        <f>'Book Income Statement'!J36</f>
        <v>2212.5922788539579</v>
      </c>
      <c r="J31" s="364">
        <f>'Book Income Statement'!K36</f>
        <v>2278.9700472195768</v>
      </c>
      <c r="K31" s="364">
        <f>'Book Income Statement'!L36</f>
        <v>2347.3391486361643</v>
      </c>
      <c r="L31" s="364">
        <f>'Book Income Statement'!M36</f>
        <v>2417.7593230952489</v>
      </c>
      <c r="M31" s="364">
        <f>'Book Income Statement'!N36</f>
        <v>2490.2921027881066</v>
      </c>
      <c r="N31" s="364">
        <f>'Book Income Statement'!O36</f>
        <v>2565.0008658717493</v>
      </c>
      <c r="O31" s="364">
        <f>'Book Income Statement'!P36</f>
        <v>2641.9508918479014</v>
      </c>
      <c r="P31" s="364">
        <f>'Book Income Statement'!Q36</f>
        <v>2721.2094186033387</v>
      </c>
      <c r="Q31" s="364">
        <f>'Book Income Statement'!R36</f>
        <v>2802.8457011614391</v>
      </c>
      <c r="R31" s="364">
        <f>'Book Income Statement'!S36</f>
        <v>2886.931072196282</v>
      </c>
      <c r="S31" s="364">
        <f>'Book Income Statement'!T36</f>
        <v>2973.5390043621705</v>
      </c>
      <c r="T31" s="364">
        <f>'Book Income Statement'!U36</f>
        <v>3062.7451744930354</v>
      </c>
      <c r="U31" s="364">
        <f>'Book Income Statement'!V36</f>
        <v>3154.6275297278262</v>
      </c>
      <c r="V31" s="364">
        <f>'Book Income Statement'!W36</f>
        <v>3249.2663556196612</v>
      </c>
      <c r="W31" s="364">
        <f>'Book Income Statement'!X36</f>
        <v>3346.7443462882507</v>
      </c>
      <c r="X31" s="364">
        <f>'Book Income Statement'!Y36</f>
        <v>0</v>
      </c>
      <c r="Y31" s="364">
        <f>'Book Income Statement'!Z36</f>
        <v>0</v>
      </c>
      <c r="Z31" s="364">
        <f>'Book Income Statement'!AA36</f>
        <v>0</v>
      </c>
      <c r="AA31" s="365">
        <f>'Book Income Statement'!AB36</f>
        <v>0</v>
      </c>
    </row>
    <row r="32" spans="1:27">
      <c r="A32" s="420" t="s">
        <v>553</v>
      </c>
      <c r="B32" s="838">
        <f t="shared" si="12"/>
        <v>3725.0052740423621</v>
      </c>
      <c r="C32" s="364">
        <f>'Book Income Statement'!D44+'Book Income Statement'!D53</f>
        <v>1411.8265242214534</v>
      </c>
      <c r="D32" s="364">
        <f>'Book Income Statement'!E44+'Book Income Statement'!E53</f>
        <v>2444.0808627681658</v>
      </c>
      <c r="E32" s="364">
        <f>'Book Income Statement'!F44+'Book Income Statement'!F53</f>
        <v>2517.4032886512109</v>
      </c>
      <c r="F32" s="364">
        <f>'Book Income Statement'!G44+'Book Income Statement'!G53</f>
        <v>2912.6905673107476</v>
      </c>
      <c r="G32" s="364">
        <f>'Book Income Statement'!H44+'Book Income Statement'!H53</f>
        <v>3235.3270953300694</v>
      </c>
      <c r="H32" s="364">
        <f>'Book Income Statement'!I44+'Book Income Statement'!I53</f>
        <v>3332.386908189972</v>
      </c>
      <c r="I32" s="364">
        <f>'Book Income Statement'!J44+'Book Income Statement'!J53</f>
        <v>3432.3585154356711</v>
      </c>
      <c r="J32" s="364">
        <f>'Book Income Statement'!K44+'Book Income Statement'!K53</f>
        <v>3535.329270898741</v>
      </c>
      <c r="K32" s="364">
        <f>'Book Income Statement'!L44+'Book Income Statement'!L53</f>
        <v>3641.3891490257029</v>
      </c>
      <c r="L32" s="364">
        <f>'Book Income Statement'!M44+'Book Income Statement'!M53</f>
        <v>3750.6308234964745</v>
      </c>
      <c r="M32" s="364">
        <f>'Book Income Statement'!N44+'Book Income Statement'!N53</f>
        <v>3863.1497482013688</v>
      </c>
      <c r="N32" s="364">
        <f>'Book Income Statement'!O44+'Book Income Statement'!O53</f>
        <v>3979.0442406474094</v>
      </c>
      <c r="O32" s="364">
        <f>'Book Income Statement'!P44+'Book Income Statement'!P53</f>
        <v>4098.4155678668312</v>
      </c>
      <c r="P32" s="364">
        <f>'Book Income Statement'!Q44+'Book Income Statement'!Q53</f>
        <v>4221.3680349028364</v>
      </c>
      <c r="Q32" s="364">
        <f>'Book Income Statement'!R44+'Book Income Statement'!R53</f>
        <v>4348.0090759499217</v>
      </c>
      <c r="R32" s="364">
        <f>'Book Income Statement'!S44+'Book Income Statement'!S53</f>
        <v>4478.4493482284188</v>
      </c>
      <c r="S32" s="364">
        <f>'Book Income Statement'!T44+'Book Income Statement'!T53</f>
        <v>4612.8028286752715</v>
      </c>
      <c r="T32" s="364">
        <f>'Book Income Statement'!U44+'Book Income Statement'!U53</f>
        <v>4751.1869135355291</v>
      </c>
      <c r="U32" s="364">
        <f>'Book Income Statement'!V44+'Book Income Statement'!V53</f>
        <v>4893.7225209415956</v>
      </c>
      <c r="V32" s="364">
        <f>'Book Income Statement'!W44+'Book Income Statement'!W53</f>
        <v>5040.5341965698426</v>
      </c>
      <c r="W32" s="364">
        <f>'Book Income Statement'!X44+'Book Income Statement'!X53</f>
        <v>2233.1143254384442</v>
      </c>
      <c r="X32" s="364">
        <f>'Book Income Statement'!Y44+'Book Income Statement'!Y53</f>
        <v>0</v>
      </c>
      <c r="Y32" s="364">
        <f>'Book Income Statement'!Z44+'Book Income Statement'!Z53</f>
        <v>0</v>
      </c>
      <c r="Z32" s="364">
        <f>'Book Income Statement'!AA44+'Book Income Statement'!AA53</f>
        <v>0</v>
      </c>
      <c r="AA32" s="361"/>
    </row>
    <row r="33" spans="1:27">
      <c r="A33" s="420" t="s">
        <v>80</v>
      </c>
      <c r="B33" s="838">
        <f t="shared" si="12"/>
        <v>274.29731247623045</v>
      </c>
      <c r="C33" s="364">
        <f>'Book Income Statement'!D55</f>
        <v>349.86902101560014</v>
      </c>
      <c r="D33" s="364">
        <f>'Book Income Statement'!E55</f>
        <v>349.86902101560014</v>
      </c>
      <c r="E33" s="364">
        <f>'Book Income Statement'!F55</f>
        <v>349.86902101560014</v>
      </c>
      <c r="F33" s="364">
        <f>'Book Income Statement'!G55</f>
        <v>349.86902101560014</v>
      </c>
      <c r="G33" s="364">
        <f>'Book Income Statement'!H55</f>
        <v>349.86902101560014</v>
      </c>
      <c r="H33" s="364">
        <f>'Book Income Statement'!I55</f>
        <v>307.88473849372815</v>
      </c>
      <c r="I33" s="364">
        <f>'Book Income Statement'!J55</f>
        <v>307.88473849372815</v>
      </c>
      <c r="J33" s="364">
        <f>'Book Income Statement'!K55</f>
        <v>307.88473849372815</v>
      </c>
      <c r="K33" s="364">
        <f>'Book Income Statement'!L55</f>
        <v>307.88473849372815</v>
      </c>
      <c r="L33" s="364">
        <f>'Book Income Statement'!M55</f>
        <v>265.9004559718561</v>
      </c>
      <c r="M33" s="364">
        <f>'Book Income Statement'!N55</f>
        <v>265.9004559718561</v>
      </c>
      <c r="N33" s="364">
        <f>'Book Income Statement'!O55</f>
        <v>265.9004559718561</v>
      </c>
      <c r="O33" s="364">
        <f>'Book Income Statement'!P55</f>
        <v>265.9004559718561</v>
      </c>
      <c r="P33" s="364">
        <f>'Book Income Statement'!Q55</f>
        <v>223.91617344998411</v>
      </c>
      <c r="Q33" s="364">
        <f>'Book Income Statement'!R55</f>
        <v>223.91617344998411</v>
      </c>
      <c r="R33" s="364">
        <f>'Book Income Statement'!S55</f>
        <v>223.91617344998411</v>
      </c>
      <c r="S33" s="364">
        <f>'Book Income Statement'!T55</f>
        <v>223.91617344998411</v>
      </c>
      <c r="T33" s="364">
        <f>'Book Income Statement'!U55</f>
        <v>181.9318909281121</v>
      </c>
      <c r="U33" s="364">
        <f>'Book Income Statement'!V55</f>
        <v>181.9318909281121</v>
      </c>
      <c r="V33" s="364">
        <f>'Book Income Statement'!W55</f>
        <v>181.9318909281121</v>
      </c>
      <c r="W33" s="364">
        <f>'Book Income Statement'!X55</f>
        <v>181.9318909281121</v>
      </c>
      <c r="X33" s="364">
        <f>'Book Income Statement'!Y55</f>
        <v>0</v>
      </c>
      <c r="Y33" s="364">
        <f>'Book Income Statement'!Z55</f>
        <v>0</v>
      </c>
      <c r="Z33" s="364">
        <f>'Book Income Statement'!AA55</f>
        <v>0</v>
      </c>
      <c r="AA33" s="365">
        <f>'Book Income Statement'!AB55</f>
        <v>0</v>
      </c>
    </row>
    <row r="34" spans="1:27">
      <c r="A34" s="420" t="s">
        <v>514</v>
      </c>
      <c r="B34" s="838">
        <f t="shared" si="12"/>
        <v>73.979747075000049</v>
      </c>
      <c r="C34" s="364">
        <f>'Book Income Statement'!D60</f>
        <v>108.26304450000002</v>
      </c>
      <c r="D34" s="364">
        <f>'Book Income Statement'!E60</f>
        <v>72.175363000000019</v>
      </c>
      <c r="E34" s="364">
        <f>'Book Income Statement'!F60</f>
        <v>72.175363000000019</v>
      </c>
      <c r="F34" s="364">
        <f>'Book Income Statement'!G60</f>
        <v>72.175363000000019</v>
      </c>
      <c r="G34" s="364">
        <f>'Book Income Statement'!H60</f>
        <v>72.175363000000019</v>
      </c>
      <c r="H34" s="364">
        <f>'Book Income Statement'!I60</f>
        <v>72.175363000000019</v>
      </c>
      <c r="I34" s="364">
        <f>'Book Income Statement'!J60</f>
        <v>72.175363000000019</v>
      </c>
      <c r="J34" s="364">
        <f>'Book Income Statement'!K60</f>
        <v>72.175363000000019</v>
      </c>
      <c r="K34" s="364">
        <f>'Book Income Statement'!L60</f>
        <v>72.175363000000019</v>
      </c>
      <c r="L34" s="364">
        <f>'Book Income Statement'!M60</f>
        <v>72.175363000000019</v>
      </c>
      <c r="M34" s="364">
        <f>'Book Income Statement'!N60</f>
        <v>72.175363000000019</v>
      </c>
      <c r="N34" s="364">
        <f>'Book Income Statement'!O60</f>
        <v>72.175363000000019</v>
      </c>
      <c r="O34" s="364">
        <f>'Book Income Statement'!P60</f>
        <v>72.175363000000019</v>
      </c>
      <c r="P34" s="364">
        <f>'Book Income Statement'!Q60</f>
        <v>72.175363000000019</v>
      </c>
      <c r="Q34" s="364">
        <f>'Book Income Statement'!R60</f>
        <v>72.175363000000019</v>
      </c>
      <c r="R34" s="364">
        <f>'Book Income Statement'!S60</f>
        <v>72.175363000000019</v>
      </c>
      <c r="S34" s="364">
        <f>'Book Income Statement'!T60</f>
        <v>72.175363000000019</v>
      </c>
      <c r="T34" s="364">
        <f>'Book Income Statement'!U60</f>
        <v>72.175363000000019</v>
      </c>
      <c r="U34" s="364">
        <f>'Book Income Statement'!V60</f>
        <v>72.175363000000019</v>
      </c>
      <c r="V34" s="364">
        <f>'Book Income Statement'!W60</f>
        <v>72.175363000000019</v>
      </c>
      <c r="W34" s="364">
        <f>'Book Income Statement'!X60</f>
        <v>72.175363000000019</v>
      </c>
      <c r="X34" s="364">
        <f>'Book Income Statement'!Y60</f>
        <v>0</v>
      </c>
      <c r="Y34" s="364">
        <f>'Book Income Statement'!Z60</f>
        <v>0</v>
      </c>
      <c r="Z34" s="364">
        <f>'Book Income Statement'!AA60</f>
        <v>0</v>
      </c>
      <c r="AA34" s="361"/>
    </row>
    <row r="35" spans="1:27" ht="15">
      <c r="A35" s="420" t="s">
        <v>155</v>
      </c>
      <c r="B35" s="839">
        <f t="shared" si="12"/>
        <v>17142.756756400006</v>
      </c>
      <c r="C35" s="380">
        <f>'Returns Summary'!C23</f>
        <v>21585.3351</v>
      </c>
      <c r="D35" s="380">
        <f>'Returns Summary'!D23</f>
        <v>21087.769375</v>
      </c>
      <c r="E35" s="380">
        <f>'Returns Summary'!E23</f>
        <v>23310.703649999999</v>
      </c>
      <c r="F35" s="380">
        <f>'Returns Summary'!F23</f>
        <v>25327.696075</v>
      </c>
      <c r="G35" s="380">
        <f>'Returns Summary'!G23</f>
        <v>19001.27665</v>
      </c>
      <c r="H35" s="380">
        <f>'Returns Summary'!H23</f>
        <v>18427.733246</v>
      </c>
      <c r="I35" s="380">
        <f>'Returns Summary'!I23</f>
        <v>18842.329841999999</v>
      </c>
      <c r="J35" s="380">
        <f>'Returns Summary'!J23</f>
        <v>18187.956586</v>
      </c>
      <c r="K35" s="380">
        <f>'Returns Summary'!K23</f>
        <v>22974.583330000001</v>
      </c>
      <c r="L35" s="380">
        <f>'Returns Summary'!L23</f>
        <v>25616.966374</v>
      </c>
      <c r="M35" s="380">
        <f>'Returns Summary'!M23</f>
        <v>10661.437716</v>
      </c>
      <c r="N35" s="380">
        <f>'Returns Summary'!N23</f>
        <v>11326.258308</v>
      </c>
      <c r="O35" s="380">
        <f>'Returns Summary'!O23</f>
        <v>10922.109048000002</v>
      </c>
      <c r="P35" s="380">
        <f>'Returns Summary'!P23</f>
        <v>10517.959788000002</v>
      </c>
      <c r="Q35" s="380">
        <f>'Returns Summary'!Q23</f>
        <v>10113.810528000002</v>
      </c>
      <c r="R35" s="380">
        <f>'Returns Summary'!R23</f>
        <v>9709.6612680000035</v>
      </c>
      <c r="S35" s="380">
        <f>'Returns Summary'!S23</f>
        <v>14246.212008000002</v>
      </c>
      <c r="T35" s="380">
        <f>'Returns Summary'!T23</f>
        <v>15414.193488000003</v>
      </c>
      <c r="U35" s="380">
        <f>'Returns Summary'!U23</f>
        <v>17408.655264000001</v>
      </c>
      <c r="V35" s="380">
        <f>'Returns Summary'!V23</f>
        <v>18172.487484000005</v>
      </c>
      <c r="W35" s="380">
        <f>'Returns Summary'!W23</f>
        <v>0</v>
      </c>
      <c r="X35" s="380">
        <f>'Returns Summary'!X23</f>
        <v>0</v>
      </c>
      <c r="Y35" s="380">
        <f>'Returns Summary'!Y23</f>
        <v>0</v>
      </c>
      <c r="Z35" s="380">
        <f>'Returns Summary'!Z23</f>
        <v>0</v>
      </c>
      <c r="AA35" s="389"/>
    </row>
    <row r="36" spans="1:27">
      <c r="A36" s="420" t="s">
        <v>156</v>
      </c>
      <c r="B36" s="58"/>
      <c r="C36" s="364">
        <f t="shared" ref="C36:V36" si="13">SUM(C30:C35)</f>
        <v>25956.669289737052</v>
      </c>
      <c r="D36" s="364">
        <f t="shared" si="13"/>
        <v>26530.311489783766</v>
      </c>
      <c r="E36" s="364">
        <f t="shared" si="13"/>
        <v>28903.860696706812</v>
      </c>
      <c r="F36" s="364">
        <f t="shared" si="13"/>
        <v>31429.752496714242</v>
      </c>
      <c r="G36" s="364">
        <f t="shared" si="13"/>
        <v>25527.477058439297</v>
      </c>
      <c r="H36" s="364">
        <f t="shared" si="13"/>
        <v>25095.074052650139</v>
      </c>
      <c r="I36" s="364">
        <f t="shared" si="13"/>
        <v>25698.289069804829</v>
      </c>
      <c r="J36" s="364">
        <f t="shared" si="13"/>
        <v>25238.192787594166</v>
      </c>
      <c r="K36" s="364">
        <f t="shared" si="13"/>
        <v>30224.92481459718</v>
      </c>
      <c r="L36" s="364">
        <f t="shared" si="13"/>
        <v>33031.432017568412</v>
      </c>
      <c r="M36" s="364">
        <f t="shared" si="13"/>
        <v>18288.195054306307</v>
      </c>
      <c r="N36" s="364">
        <f t="shared" si="13"/>
        <v>19171.676091886337</v>
      </c>
      <c r="O36" s="364">
        <f t="shared" si="13"/>
        <v>18992.747090833775</v>
      </c>
      <c r="P36" s="364">
        <f t="shared" si="13"/>
        <v>18778.590415027757</v>
      </c>
      <c r="Q36" s="364">
        <f t="shared" si="13"/>
        <v>18613.377327745093</v>
      </c>
      <c r="R36" s="364">
        <f t="shared" si="13"/>
        <v>18455.332325643947</v>
      </c>
      <c r="S36" s="364">
        <f t="shared" si="13"/>
        <v>23245.370451279763</v>
      </c>
      <c r="T36" s="364">
        <f t="shared" si="13"/>
        <v>24632.459655962783</v>
      </c>
      <c r="U36" s="364">
        <f t="shared" si="13"/>
        <v>26895.846199383825</v>
      </c>
      <c r="V36" s="364">
        <f t="shared" si="13"/>
        <v>27936.670929827498</v>
      </c>
      <c r="W36" s="364">
        <f>SUM(W30:W35)</f>
        <v>6363.7774066985658</v>
      </c>
      <c r="X36" s="364">
        <f>SUM(X30:X35)</f>
        <v>0</v>
      </c>
      <c r="Y36" s="364">
        <f>SUM(Y30:Y35)</f>
        <v>0</v>
      </c>
      <c r="Z36" s="364">
        <f>SUM(Z30:Z35)</f>
        <v>0</v>
      </c>
      <c r="AA36" s="365"/>
    </row>
    <row r="37" spans="1:27">
      <c r="A37" s="420"/>
      <c r="B37" s="58"/>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5"/>
    </row>
    <row r="38" spans="1:27">
      <c r="A38" s="667" t="s">
        <v>364</v>
      </c>
      <c r="B38" s="263" t="s">
        <v>363</v>
      </c>
      <c r="C38" s="360"/>
      <c r="D38" s="360"/>
      <c r="E38" s="360"/>
      <c r="F38" s="360"/>
      <c r="G38" s="360"/>
      <c r="H38" s="360"/>
      <c r="I38" s="360"/>
      <c r="J38" s="360"/>
      <c r="K38" s="360"/>
      <c r="L38" s="360"/>
      <c r="M38" s="360"/>
      <c r="N38" s="360"/>
      <c r="O38" s="360"/>
      <c r="P38" s="360"/>
      <c r="Q38" s="360"/>
      <c r="R38" s="360"/>
      <c r="S38" s="360"/>
      <c r="T38" s="360"/>
      <c r="U38" s="360"/>
      <c r="V38" s="360"/>
      <c r="W38" s="360"/>
      <c r="X38" s="360"/>
      <c r="Y38" s="360"/>
      <c r="Z38" s="360"/>
      <c r="AA38" s="361"/>
    </row>
    <row r="39" spans="1:27">
      <c r="A39" s="420" t="s">
        <v>554</v>
      </c>
      <c r="B39" s="837">
        <f>AVERAGE(C39:V39)</f>
        <v>1985.4857408957359</v>
      </c>
      <c r="C39" s="360">
        <f>'Book Income Statement'!D40+'Book Income Statement'!D39+'Book Income Statement'!D43+'Book Income Statement'!D41</f>
        <v>875.64285755478681</v>
      </c>
      <c r="D39" s="360">
        <f>'Book Income Statement'!E40+'Book Income Statement'!E39+'Book Income Statement'!E43+'Book Income Statement'!E41</f>
        <v>1546.1351027681658</v>
      </c>
      <c r="E39" s="360">
        <f>'Book Income Statement'!F40+'Book Income Statement'!F39+'Book Income Statement'!F43+'Book Income Statement'!F41</f>
        <v>1592.5191558512111</v>
      </c>
      <c r="F39" s="360">
        <f>'Book Income Statement'!G40+'Book Income Statement'!G39+'Book Income Statement'!G43+'Book Income Statement'!G41</f>
        <v>1640.2947305267471</v>
      </c>
      <c r="G39" s="360">
        <f>'Book Income Statement'!H40+'Book Income Statement'!H39+'Book Income Statement'!H43+'Book Income Statement'!H41</f>
        <v>1689.5035724425495</v>
      </c>
      <c r="H39" s="360">
        <f>'Book Income Statement'!I40+'Book Income Statement'!I39+'Book Income Statement'!I43+'Book Income Statement'!I41</f>
        <v>1740.1886796158265</v>
      </c>
      <c r="I39" s="360">
        <f>'Book Income Statement'!J40+'Book Income Statement'!J39+'Book Income Statement'!J43+'Book Income Statement'!J41</f>
        <v>1792.3943400043011</v>
      </c>
      <c r="J39" s="360">
        <f>'Book Income Statement'!K40+'Book Income Statement'!K39+'Book Income Statement'!K43+'Book Income Statement'!K41</f>
        <v>1846.1661702044298</v>
      </c>
      <c r="K39" s="360">
        <f>'Book Income Statement'!L40+'Book Income Statement'!L39+'Book Income Statement'!L43+'Book Income Statement'!L41</f>
        <v>1901.551155310563</v>
      </c>
      <c r="L39" s="360">
        <f>'Book Income Statement'!M40+'Book Income Statement'!M39+'Book Income Statement'!M43+'Book Income Statement'!M41</f>
        <v>1958.5976899698799</v>
      </c>
      <c r="M39" s="360">
        <f>'Book Income Statement'!N40+'Book Income Statement'!N39+'Book Income Statement'!N43+'Book Income Statement'!N41</f>
        <v>2017.3556206689761</v>
      </c>
      <c r="N39" s="360">
        <f>'Book Income Statement'!O40+'Book Income Statement'!O39+'Book Income Statement'!O43+'Book Income Statement'!O41</f>
        <v>2077.8762892890454</v>
      </c>
      <c r="O39" s="360">
        <f>'Book Income Statement'!P40+'Book Income Statement'!P39+'Book Income Statement'!P43+'Book Income Statement'!P41</f>
        <v>2140.2125779677162</v>
      </c>
      <c r="P39" s="360">
        <f>'Book Income Statement'!Q40+'Book Income Statement'!Q39+'Book Income Statement'!Q43+'Book Income Statement'!Q41</f>
        <v>2204.4189553067481</v>
      </c>
      <c r="Q39" s="360">
        <f>'Book Income Statement'!R40+'Book Income Statement'!R39+'Book Income Statement'!R43+'Book Income Statement'!R41</f>
        <v>2270.5515239659508</v>
      </c>
      <c r="R39" s="360">
        <f>'Book Income Statement'!S40+'Book Income Statement'!S39+'Book Income Statement'!S43+'Book Income Statement'!S41</f>
        <v>2338.6680696849289</v>
      </c>
      <c r="S39" s="360">
        <f>'Book Income Statement'!T40+'Book Income Statement'!T39+'Book Income Statement'!T43+'Book Income Statement'!T41</f>
        <v>2408.8281117754768</v>
      </c>
      <c r="T39" s="360">
        <f>'Book Income Statement'!U40+'Book Income Statement'!U39+'Book Income Statement'!U43+'Book Income Statement'!U41</f>
        <v>2481.0929551287409</v>
      </c>
      <c r="U39" s="360">
        <f>'Book Income Statement'!V40+'Book Income Statement'!V39+'Book Income Statement'!V43+'Book Income Statement'!V41</f>
        <v>2555.5257437826035</v>
      </c>
      <c r="V39" s="360">
        <f>'Book Income Statement'!W40+'Book Income Statement'!W39+'Book Income Statement'!W43+'Book Income Statement'!W41</f>
        <v>2632.1915160960812</v>
      </c>
      <c r="W39" s="360">
        <f>'Book Income Statement'!X40+'Book Income Statement'!X39+'Book Income Statement'!X43+'Book Income Statement'!X41</f>
        <v>1129.6488589912349</v>
      </c>
      <c r="X39" s="360">
        <f>'Book Income Statement'!Y40+'Book Income Statement'!Y39+'Book Income Statement'!Y43+'Book Income Statement'!Y41</f>
        <v>0</v>
      </c>
      <c r="Y39" s="360">
        <f>'Book Income Statement'!Z40+'Book Income Statement'!Z39+'Book Income Statement'!Z43+'Book Income Statement'!Z41</f>
        <v>0</v>
      </c>
      <c r="Z39" s="360">
        <f>'Book Income Statement'!AA40+'Book Income Statement'!AA39+'Book Income Statement'!AA43+'Book Income Statement'!AA41</f>
        <v>0</v>
      </c>
      <c r="AA39" s="361"/>
    </row>
    <row r="40" spans="1:27">
      <c r="A40" s="420" t="s">
        <v>365</v>
      </c>
      <c r="B40" s="839">
        <f>AVERAGE(C40:V40)</f>
        <v>1154.4884591581958</v>
      </c>
      <c r="C40" s="360">
        <f>SUM('Book Income Statement'!D47:D52)</f>
        <v>536.18366666666657</v>
      </c>
      <c r="D40" s="360">
        <f>SUM('Book Income Statement'!E47:E52)</f>
        <v>897.94576000000006</v>
      </c>
      <c r="E40" s="360">
        <f>SUM('Book Income Statement'!F47:F52)</f>
        <v>924.88413279999997</v>
      </c>
      <c r="F40" s="360">
        <f>SUM('Book Income Statement'!G47:G52)</f>
        <v>952.63065678399994</v>
      </c>
      <c r="G40" s="360">
        <f>SUM('Book Income Statement'!H47:H52)</f>
        <v>981.20957648751994</v>
      </c>
      <c r="H40" s="360">
        <f>SUM('Book Income Statement'!I47:I52)</f>
        <v>1010.6458637821455</v>
      </c>
      <c r="I40" s="360">
        <f>SUM('Book Income Statement'!J47:J52)</f>
        <v>1040.9652396956099</v>
      </c>
      <c r="J40" s="360">
        <f>SUM('Book Income Statement'!K47:K52)</f>
        <v>1072.1941968864783</v>
      </c>
      <c r="K40" s="360">
        <f>SUM('Book Income Statement'!L47:L52)</f>
        <v>1104.3600227930724</v>
      </c>
      <c r="L40" s="360">
        <f>SUM('Book Income Statement'!M47:M52)</f>
        <v>1137.4908234768648</v>
      </c>
      <c r="M40" s="360">
        <f>SUM('Book Income Statement'!N47:N52)</f>
        <v>1171.6155481811707</v>
      </c>
      <c r="N40" s="360">
        <f>SUM('Book Income Statement'!O47:O52)</f>
        <v>1206.7640146266056</v>
      </c>
      <c r="O40" s="360">
        <f>SUM('Book Income Statement'!P47:P52)</f>
        <v>1242.9669350654037</v>
      </c>
      <c r="P40" s="360">
        <f>SUM('Book Income Statement'!Q47:Q52)</f>
        <v>1280.2559431173659</v>
      </c>
      <c r="Q40" s="360">
        <f>SUM('Book Income Statement'!R47:R52)</f>
        <v>1318.6636214108869</v>
      </c>
      <c r="R40" s="360">
        <f>SUM('Book Income Statement'!S47:S52)</f>
        <v>1358.2235300532132</v>
      </c>
      <c r="S40" s="360">
        <f>SUM('Book Income Statement'!T47:T52)</f>
        <v>1398.9702359548098</v>
      </c>
      <c r="T40" s="360">
        <f>SUM('Book Income Statement'!U47:U52)</f>
        <v>1440.9393430334542</v>
      </c>
      <c r="U40" s="360">
        <f>SUM('Book Income Statement'!V47:V52)</f>
        <v>1484.1675233244578</v>
      </c>
      <c r="V40" s="360">
        <f>SUM('Book Income Statement'!W47:W52)</f>
        <v>1528.6925490241915</v>
      </c>
      <c r="W40" s="360">
        <f>SUM('Book Income Statement'!X47:X52)</f>
        <v>725.94895170010204</v>
      </c>
      <c r="X40" s="360">
        <f>SUM('Book Income Statement'!Y47:Y52)</f>
        <v>0</v>
      </c>
      <c r="Y40" s="360">
        <f>SUM('Book Income Statement'!Z47:Z52)</f>
        <v>0</v>
      </c>
      <c r="Z40" s="360">
        <f>SUM('Book Income Statement'!AA47:AA52)</f>
        <v>0</v>
      </c>
      <c r="AA40" s="361"/>
    </row>
    <row r="41" spans="1:27">
      <c r="A41" s="456"/>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458"/>
    </row>
    <row r="42" spans="1:27">
      <c r="A42" s="418" t="s">
        <v>498</v>
      </c>
      <c r="B42" s="263" t="s">
        <v>363</v>
      </c>
      <c r="C42" s="360"/>
      <c r="D42" s="360"/>
      <c r="E42" s="360"/>
      <c r="F42" s="360"/>
      <c r="G42" s="360"/>
      <c r="H42" s="360"/>
      <c r="I42" s="360"/>
      <c r="J42" s="360"/>
      <c r="K42" s="360"/>
      <c r="L42" s="360"/>
      <c r="M42" s="360"/>
      <c r="N42" s="360"/>
      <c r="O42" s="360"/>
      <c r="P42" s="360"/>
      <c r="Q42" s="360"/>
      <c r="R42" s="360"/>
      <c r="S42" s="360"/>
      <c r="T42" s="360"/>
      <c r="U42" s="360"/>
      <c r="V42" s="360"/>
      <c r="W42" s="360"/>
      <c r="X42" s="360"/>
      <c r="Y42" s="360"/>
      <c r="Z42" s="360"/>
      <c r="AA42" s="361"/>
    </row>
    <row r="43" spans="1:27" s="34" customFormat="1" ht="12.6" customHeight="1">
      <c r="A43" s="420" t="s">
        <v>555</v>
      </c>
      <c r="B43" s="840">
        <f>AVERAGE(C43:V43)</f>
        <v>0.13019106406193445</v>
      </c>
      <c r="C43" s="841">
        <f>IF(Operations!C3&gt;'Project Assumptions'!$I$15+1,0,C30/'Project Assumptions'!$I$10/SUM('Book Income Statement'!D7:D9))</f>
        <v>0.15234125939849627</v>
      </c>
      <c r="D43" s="841">
        <f>IF(Operations!D3&gt;'Project Assumptions'!$I$15+1,0,D30/'Project Assumptions'!$I$10/SUM('Book Income Statement'!E7:E9))</f>
        <v>9.153170668859649E-2</v>
      </c>
      <c r="E43" s="841">
        <f>IF(Operations!E3&gt;'Project Assumptions'!$I$15+1,0,E30/'Project Assumptions'!$I$10/SUM('Book Income Statement'!F7:F9))</f>
        <v>9.4277657889254365E-2</v>
      </c>
      <c r="F43" s="841">
        <f>IF(Operations!F3&gt;'Project Assumptions'!$I$15+1,0,F30/'Project Assumptions'!$I$10/SUM('Book Income Statement'!G7:G9))</f>
        <v>0.10176618706763906</v>
      </c>
      <c r="G43" s="841">
        <f>IF(Operations!G3&gt;'Project Assumptions'!$I$15+1,0,G30/'Project Assumptions'!$I$10/SUM('Book Income Statement'!H7:H9))</f>
        <v>0.10735313849574529</v>
      </c>
      <c r="H43" s="841">
        <f>IF(Operations!H3&gt;'Project Assumptions'!$I$15+1,0,H30/'Project Assumptions'!$I$10/SUM('Book Income Statement'!I7:I9))</f>
        <v>0.11057373265061765</v>
      </c>
      <c r="I43" s="841">
        <f>IF(Operations!I3&gt;'Project Assumptions'!$I$15+1,0,I30/'Project Assumptions'!$I$10/SUM('Book Income Statement'!J7:J9))</f>
        <v>0.11389094463013617</v>
      </c>
      <c r="J43" s="841">
        <f>IF(Operations!J3&gt;'Project Assumptions'!$I$15+1,0,J30/'Project Assumptions'!$I$10/SUM('Book Income Statement'!K7:K9))</f>
        <v>0.11730767296904027</v>
      </c>
      <c r="K43" s="841">
        <f>IF(Operations!K3&gt;'Project Assumptions'!$I$15+1,0,K30/'Project Assumptions'!$I$10/SUM('Book Income Statement'!L7:L9))</f>
        <v>0.1208269031581115</v>
      </c>
      <c r="L43" s="841">
        <f>IF(Operations!L3&gt;'Project Assumptions'!$I$15+1,0,L30/'Project Assumptions'!$I$10/SUM('Book Income Statement'!M7:M9))</f>
        <v>0.12445171025285483</v>
      </c>
      <c r="M43" s="841">
        <f>IF(Operations!M3&gt;'Project Assumptions'!$I$15+1,0,M30/'Project Assumptions'!$I$10/SUM('Book Income Statement'!N7:N9))</f>
        <v>0.12818526156044047</v>
      </c>
      <c r="N43" s="841">
        <f>IF(Operations!N3&gt;'Project Assumptions'!$I$15+1,0,N30/'Project Assumptions'!$I$10/SUM('Book Income Statement'!O7:O9))</f>
        <v>0.13203081940725367</v>
      </c>
      <c r="O43" s="841">
        <f>IF(Operations!O3&gt;'Project Assumptions'!$I$15+1,0,O30/'Project Assumptions'!$I$10/SUM('Book Income Statement'!P7:P9))</f>
        <v>0.13599174398947128</v>
      </c>
      <c r="P43" s="841">
        <f>IF(Operations!P3&gt;'Project Assumptions'!$I$15+1,0,P30/'Project Assumptions'!$I$10/SUM('Book Income Statement'!Q7:Q9))</f>
        <v>0.14007149630915544</v>
      </c>
      <c r="Q43" s="841">
        <f>IF(Operations!Q3&gt;'Project Assumptions'!$I$15+1,0,Q30/'Project Assumptions'!$I$10/SUM('Book Income Statement'!R7:R9))</f>
        <v>0.14427364119843009</v>
      </c>
      <c r="R43" s="841">
        <f>IF(Operations!R3&gt;'Project Assumptions'!$I$15+1,0,R30/'Project Assumptions'!$I$10/SUM('Book Income Statement'!S7:S9))</f>
        <v>0.14860185043438298</v>
      </c>
      <c r="S43" s="841">
        <f>IF(Operations!S3&gt;'Project Assumptions'!$I$15+1,0,S30/'Project Assumptions'!$I$10/SUM('Book Income Statement'!T7:T9))</f>
        <v>0.15305990594741445</v>
      </c>
      <c r="T43" s="841">
        <f>IF(Operations!T3&gt;'Project Assumptions'!$I$15+1,0,T30/'Project Assumptions'!$I$10/SUM('Book Income Statement'!U7:U9))</f>
        <v>0.1576517031258369</v>
      </c>
      <c r="U43" s="841">
        <f>IF(Operations!U3&gt;'Project Assumptions'!$I$15+1,0,U30/'Project Assumptions'!$I$10/SUM('Book Income Statement'!V7:V9))</f>
        <v>0.162381254219612</v>
      </c>
      <c r="V43" s="841">
        <f>IF(Operations!V3&gt;'Project Assumptions'!$I$15+1,0,V30/'Project Assumptions'!$I$10/SUM('Book Income Statement'!W7:W9))</f>
        <v>0.16725269184620037</v>
      </c>
      <c r="W43" s="841">
        <f>IF(Operations!W3&gt;'Project Assumptions'!$I$15+1,0,W30/'Project Assumptions'!$I$10/SUM('Book Income Statement'!X7:X9))</f>
        <v>0.17428009244860482</v>
      </c>
      <c r="X43" s="841" t="e">
        <f>IF(Operations!X3&gt;'Project Assumptions'!$I$15+1,0,X30/'Project Assumptions'!$I$10/SUM('Book Income Statement'!Y7:Y9))</f>
        <v>#DIV/0!</v>
      </c>
      <c r="Y43" s="841" t="e">
        <f>IF(Operations!Y3&gt;'Project Assumptions'!$I$15+1,0,Y30/'Project Assumptions'!$I$10/SUM('Book Income Statement'!Z7:Z9))</f>
        <v>#DIV/0!</v>
      </c>
      <c r="Z43" s="841" t="e">
        <f>IF(Operations!Z3&gt;'Project Assumptions'!$I$15+1,0,Z30/'Project Assumptions'!$I$10/SUM('Book Income Statement'!AA7:AA9))</f>
        <v>#DIV/0!</v>
      </c>
      <c r="AA43" s="842"/>
    </row>
    <row r="44" spans="1:27" s="34" customFormat="1" ht="12.6" customHeight="1">
      <c r="A44" s="420" t="s">
        <v>558</v>
      </c>
      <c r="B44" s="846">
        <f>AVERAGE(C44:V44)</f>
        <v>0.35029251853650284</v>
      </c>
      <c r="C44" s="841">
        <f>IF(Operations!C3&gt;'Project Assumptions'!$I$15+1,0,C31/'Project Assumptions'!$I$10/SUM('Book Income Statement'!D7:D9))</f>
        <v>0.43538796992481199</v>
      </c>
      <c r="D44" s="841">
        <f>IF(Operations!D3&gt;'Project Assumptions'!$I$15+1,0,D31/'Project Assumptions'!$I$10/SUM('Book Income Statement'!E7:E9))</f>
        <v>0.26159560526315789</v>
      </c>
      <c r="E44" s="841">
        <f>IF(Operations!E3&gt;'Project Assumptions'!$I$15+1,0,E31/'Project Assumptions'!$I$10/SUM('Book Income Statement'!F7:F9))</f>
        <v>0.26944347342105263</v>
      </c>
      <c r="F44" s="841">
        <f>IF(Operations!F3&gt;'Project Assumptions'!$I$15+1,0,F31/'Project Assumptions'!$I$10/SUM('Book Income Statement'!G7:G9))</f>
        <v>0.27752677762368422</v>
      </c>
      <c r="G44" s="841">
        <f>IF(Operations!G3&gt;'Project Assumptions'!$I$15+1,0,G31/'Project Assumptions'!$I$10/SUM('Book Income Statement'!H7:H9))</f>
        <v>0.28585258095239469</v>
      </c>
      <c r="H44" s="841">
        <f>IF(Operations!H3&gt;'Project Assumptions'!$I$15+1,0,H31/'Project Assumptions'!$I$10/SUM('Book Income Statement'!I7:I9))</f>
        <v>0.29442815838096653</v>
      </c>
      <c r="I44" s="841">
        <f>IF(Operations!I3&gt;'Project Assumptions'!$I$15+1,0,I31/'Project Assumptions'!$I$10/SUM('Book Income Statement'!J7:J9))</f>
        <v>0.30326100313239551</v>
      </c>
      <c r="J44" s="841">
        <f>IF(Operations!J3&gt;'Project Assumptions'!$I$15+1,0,J31/'Project Assumptions'!$I$10/SUM('Book Income Statement'!K7:K9))</f>
        <v>0.31235883322636743</v>
      </c>
      <c r="K44" s="841">
        <f>IF(Operations!K3&gt;'Project Assumptions'!$I$15+1,0,K31/'Project Assumptions'!$I$10/SUM('Book Income Statement'!L7:L9))</f>
        <v>0.3217295982231585</v>
      </c>
      <c r="L44" s="841">
        <f>IF(Operations!L3&gt;'Project Assumptions'!$I$15+1,0,L31/'Project Assumptions'!$I$10/SUM('Book Income Statement'!M7:M9))</f>
        <v>0.33138148616985319</v>
      </c>
      <c r="M44" s="841">
        <f>IF(Operations!M3&gt;'Project Assumptions'!$I$15+1,0,M31/'Project Assumptions'!$I$10/SUM('Book Income Statement'!N7:N9))</f>
        <v>0.34132293075494879</v>
      </c>
      <c r="N44" s="841">
        <f>IF(Operations!N3&gt;'Project Assumptions'!$I$15+1,0,N31/'Project Assumptions'!$I$10/SUM('Book Income Statement'!O7:O9))</f>
        <v>0.35156261867759725</v>
      </c>
      <c r="O44" s="841">
        <f>IF(Operations!O3&gt;'Project Assumptions'!$I$15+1,0,O31/'Project Assumptions'!$I$10/SUM('Book Income Statement'!P7:P9))</f>
        <v>0.36210949723792507</v>
      </c>
      <c r="P44" s="841">
        <f>IF(Operations!P3&gt;'Project Assumptions'!$I$15+1,0,P31/'Project Assumptions'!$I$10/SUM('Book Income Statement'!Q7:Q9))</f>
        <v>0.37297278215506285</v>
      </c>
      <c r="Q44" s="841">
        <f>IF(Operations!Q3&gt;'Project Assumptions'!$I$15+1,0,Q31/'Project Assumptions'!$I$10/SUM('Book Income Statement'!R7:R9))</f>
        <v>0.38416196561971483</v>
      </c>
      <c r="R44" s="841">
        <f>IF(Operations!R3&gt;'Project Assumptions'!$I$15+1,0,R31/'Project Assumptions'!$I$10/SUM('Book Income Statement'!S7:S9))</f>
        <v>0.39568682458830623</v>
      </c>
      <c r="S44" s="841">
        <f>IF(Operations!S3&gt;'Project Assumptions'!$I$15+1,0,S31/'Project Assumptions'!$I$10/SUM('Book Income Statement'!T7:T9))</f>
        <v>0.4075574293259554</v>
      </c>
      <c r="T44" s="841">
        <f>IF(Operations!T3&gt;'Project Assumptions'!$I$15+1,0,T31/'Project Assumptions'!$I$10/SUM('Book Income Statement'!U7:U9))</f>
        <v>0.41978415220573401</v>
      </c>
      <c r="U44" s="841">
        <f>IF(Operations!U3&gt;'Project Assumptions'!$I$15+1,0,U31/'Project Assumptions'!$I$10/SUM('Book Income Statement'!V7:V9))</f>
        <v>0.43237767677190603</v>
      </c>
      <c r="V44" s="841">
        <f>IF(Operations!V3&gt;'Project Assumptions'!$I$15+1,0,V31/'Project Assumptions'!$I$10/SUM('Book Income Statement'!W7:W9))</f>
        <v>0.4453490070750632</v>
      </c>
      <c r="W44" s="841">
        <f>IF(Operations!W3&gt;'Project Assumptions'!$I$15+1,0,W31/'Project Assumptions'!$I$10/SUM('Book Income Statement'!X7:X9))</f>
        <v>1.1009027454895561</v>
      </c>
      <c r="X44" s="841" t="e">
        <f>IF(Operations!X3&gt;'Project Assumptions'!$I$15+1,0,X31/'Project Assumptions'!$I$10/SUM('Book Income Statement'!Y7:Y9))</f>
        <v>#DIV/0!</v>
      </c>
      <c r="Y44" s="841" t="e">
        <f>IF(Operations!Y3&gt;'Project Assumptions'!$I$15+1,0,Y31/'Project Assumptions'!$I$10/SUM('Book Income Statement'!Z7:Z9))</f>
        <v>#DIV/0!</v>
      </c>
      <c r="Z44" s="841" t="e">
        <f>IF(Operations!Z3&gt;'Project Assumptions'!$I$15+1,0,Z31/'Project Assumptions'!$I$10/SUM('Book Income Statement'!AA7:AA9))</f>
        <v>#DIV/0!</v>
      </c>
      <c r="AA44" s="842"/>
    </row>
    <row r="45" spans="1:27" s="34" customFormat="1" ht="14.25" customHeight="1">
      <c r="A45" s="420" t="s">
        <v>556</v>
      </c>
      <c r="B45" s="843">
        <f>AVERAGE(C45:V45)</f>
        <v>0.51746541254213452</v>
      </c>
      <c r="C45" s="844">
        <f>IF(Operations!C3&gt;'Project Assumptions'!$I$15+1,0,C32/('Project Assumptions'!$I$10*SUM('Book Income Statement'!D7:D9)))</f>
        <v>0.33172615700692043</v>
      </c>
      <c r="D45" s="844">
        <f>IF(Operations!D3&gt;'Project Assumptions'!$I$15+1,0,D32/('Project Assumptions'!$I$10*SUM('Book Income Statement'!E7:E9)))</f>
        <v>0.33498915333993501</v>
      </c>
      <c r="E45" s="844">
        <f>IF(Operations!E3&gt;'Project Assumptions'!$I$15+1,0,E32/('Project Assumptions'!$I$10*SUM('Book Income Statement'!F7:F9)))</f>
        <v>0.34503882794013307</v>
      </c>
      <c r="F45" s="844">
        <f>IF(Operations!F3&gt;'Project Assumptions'!$I$15+1,0,F32/('Project Assumptions'!$I$10*SUM('Book Income Statement'!G7:G9)))</f>
        <v>0.39921745714237222</v>
      </c>
      <c r="G45" s="844">
        <f>IF(Operations!G3&gt;'Project Assumptions'!$I$15+1,0,G32/('Project Assumptions'!$I$10*SUM('Book Income Statement'!H7:H9)))</f>
        <v>0.44343847249589768</v>
      </c>
      <c r="H45" s="844">
        <f>IF(Operations!H3&gt;'Project Assumptions'!$I$15+1,0,H32/('Project Assumptions'!$I$10*SUM('Book Income Statement'!I7:I9)))</f>
        <v>0.45674162667077467</v>
      </c>
      <c r="I45" s="844">
        <f>IF(Operations!I3&gt;'Project Assumptions'!$I$15+1,0,I32/('Project Assumptions'!$I$10*SUM('Book Income Statement'!J7:J9)))</f>
        <v>0.47044387547089789</v>
      </c>
      <c r="J45" s="844">
        <f>IF(Operations!J3&gt;'Project Assumptions'!$I$15+1,0,J32/('Project Assumptions'!$I$10*SUM('Book Income Statement'!K7:K9)))</f>
        <v>0.48455719173502482</v>
      </c>
      <c r="K45" s="844">
        <f>IF(Operations!K3&gt;'Project Assumptions'!$I$15+1,0,K32/('Project Assumptions'!$I$10*SUM('Book Income Statement'!L7:L9)))</f>
        <v>0.49909390748707549</v>
      </c>
      <c r="L45" s="844">
        <f>IF(Operations!L3&gt;'Project Assumptions'!$I$15+1,0,L32/('Project Assumptions'!$I$10*SUM('Book Income Statement'!M7:M9)))</f>
        <v>0.51406672471168779</v>
      </c>
      <c r="M45" s="844">
        <f>IF(Operations!M3&gt;'Project Assumptions'!$I$15+1,0,M32/('Project Assumptions'!$I$10*SUM('Book Income Statement'!N7:N9)))</f>
        <v>0.52948872645303846</v>
      </c>
      <c r="N45" s="844">
        <f>IF(Operations!N3&gt;'Project Assumptions'!$I$15+1,0,N32/('Project Assumptions'!$I$10*SUM('Book Income Statement'!O7:O9)))</f>
        <v>0.54537338824662962</v>
      </c>
      <c r="O45" s="844">
        <f>IF(Operations!O3&gt;'Project Assumptions'!$I$15+1,0,O32/('Project Assumptions'!$I$10*SUM('Book Income Statement'!P7:P9)))</f>
        <v>0.56173458989402836</v>
      </c>
      <c r="P45" s="844">
        <f>IF(Operations!P3&gt;'Project Assumptions'!$I$15+1,0,P32/('Project Assumptions'!$I$10*SUM('Book Income Statement'!Q7:Q9)))</f>
        <v>0.57858662759084933</v>
      </c>
      <c r="Q45" s="844">
        <f>IF(Operations!Q3&gt;'Project Assumptions'!$I$15+1,0,Q32/('Project Assumptions'!$I$10*SUM('Book Income Statement'!R7:R9)))</f>
        <v>0.59594422641857481</v>
      </c>
      <c r="R45" s="844">
        <f>IF(Operations!R3&gt;'Project Assumptions'!$I$15+1,0,R32/('Project Assumptions'!$I$10*SUM('Book Income Statement'!S7:S9)))</f>
        <v>0.61382255321113199</v>
      </c>
      <c r="S45" s="844">
        <f>IF(Operations!S3&gt;'Project Assumptions'!$I$15+1,0,S32/('Project Assumptions'!$I$10*SUM('Book Income Statement'!T7:T9)))</f>
        <v>0.63223722980746588</v>
      </c>
      <c r="T45" s="844">
        <f>IF(Operations!T3&gt;'Project Assumptions'!$I$15+1,0,T32/('Project Assumptions'!$I$10*SUM('Book Income Statement'!U7:U9)))</f>
        <v>0.65120434670168981</v>
      </c>
      <c r="U45" s="844">
        <f>IF(Operations!U3&gt;'Project Assumptions'!$I$15+1,0,U32/('Project Assumptions'!$I$10*SUM('Book Income Statement'!V7:V9)))</f>
        <v>0.67074047710274065</v>
      </c>
      <c r="V45" s="844">
        <f>IF(Operations!V3&gt;'Project Assumptions'!$I$15+1,0,V32/('Project Assumptions'!$I$10*SUM('Book Income Statement'!W7:W9)))</f>
        <v>0.69086269141582268</v>
      </c>
      <c r="W45" s="844">
        <f>IF(Operations!W3&gt;'Project Assumptions'!$I$15+1,0,W32/('Project Assumptions'!$I$10*SUM('Book Income Statement'!X7:X9)))</f>
        <v>0.73457708073633032</v>
      </c>
      <c r="X45" s="844" t="e">
        <f>IF(Operations!X3&gt;'Project Assumptions'!$I$15+1,0,X32/('Project Assumptions'!$I$10*SUM('Book Income Statement'!Y7:Y9)))</f>
        <v>#DIV/0!</v>
      </c>
      <c r="Y45" s="844" t="e">
        <f>IF(Operations!Y3&gt;'Project Assumptions'!$I$15+1,0,Y32/('Project Assumptions'!$I$10*SUM('Book Income Statement'!Z7:Z9)))</f>
        <v>#DIV/0!</v>
      </c>
      <c r="Z45" s="844" t="e">
        <f>IF(Operations!Z3&gt;'Project Assumptions'!$I$15+1,0,Z32/('Project Assumptions'!$I$10*SUM('Book Income Statement'!AA7:AA9)))</f>
        <v>#DIV/0!</v>
      </c>
      <c r="AA45" s="845"/>
    </row>
    <row r="46" spans="1:27" s="34" customFormat="1" ht="12.6" customHeight="1">
      <c r="A46" s="420" t="s">
        <v>557</v>
      </c>
      <c r="B46" s="846">
        <f>AVERAGE(C46:V46)</f>
        <v>0.99794899514057178</v>
      </c>
      <c r="C46" s="841">
        <f t="shared" ref="C46:V46" si="14">SUM(C43:C45)</f>
        <v>0.91945538633022872</v>
      </c>
      <c r="D46" s="841">
        <f t="shared" si="14"/>
        <v>0.68811646529168935</v>
      </c>
      <c r="E46" s="841">
        <f t="shared" si="14"/>
        <v>0.70875995925044011</v>
      </c>
      <c r="F46" s="841">
        <f t="shared" si="14"/>
        <v>0.77851042183369557</v>
      </c>
      <c r="G46" s="841">
        <f t="shared" si="14"/>
        <v>0.83664419194403772</v>
      </c>
      <c r="H46" s="841">
        <f t="shared" si="14"/>
        <v>0.86174351770235891</v>
      </c>
      <c r="I46" s="841">
        <f t="shared" si="14"/>
        <v>0.88759582323342956</v>
      </c>
      <c r="J46" s="841">
        <f t="shared" si="14"/>
        <v>0.91422369793043257</v>
      </c>
      <c r="K46" s="841">
        <f t="shared" si="14"/>
        <v>0.9416504088683455</v>
      </c>
      <c r="L46" s="841">
        <f t="shared" si="14"/>
        <v>0.96989992113439583</v>
      </c>
      <c r="M46" s="841">
        <f t="shared" si="14"/>
        <v>0.99899691876842778</v>
      </c>
      <c r="N46" s="841">
        <f t="shared" si="14"/>
        <v>1.0289668263314806</v>
      </c>
      <c r="O46" s="841">
        <f t="shared" si="14"/>
        <v>1.0598358311214247</v>
      </c>
      <c r="P46" s="841">
        <f t="shared" si="14"/>
        <v>1.0916309060550677</v>
      </c>
      <c r="Q46" s="841">
        <f t="shared" si="14"/>
        <v>1.1243798332367199</v>
      </c>
      <c r="R46" s="841">
        <f t="shared" si="14"/>
        <v>1.1581112282338211</v>
      </c>
      <c r="S46" s="841">
        <f t="shared" si="14"/>
        <v>1.1928545650808358</v>
      </c>
      <c r="T46" s="841">
        <f t="shared" si="14"/>
        <v>1.2286402020332607</v>
      </c>
      <c r="U46" s="841">
        <f t="shared" si="14"/>
        <v>1.2654994080942585</v>
      </c>
      <c r="V46" s="841">
        <f t="shared" si="14"/>
        <v>1.3034643903370862</v>
      </c>
      <c r="W46" s="841">
        <f>SUM(W43:W45)</f>
        <v>2.009759918674491</v>
      </c>
      <c r="X46" s="841" t="e">
        <f>SUM(X43:X45)</f>
        <v>#DIV/0!</v>
      </c>
      <c r="Y46" s="841" t="e">
        <f>SUM(Y43:Y45)</f>
        <v>#DIV/0!</v>
      </c>
      <c r="Z46" s="841" t="e">
        <f>SUM(Z43:Z45)</f>
        <v>#DIV/0!</v>
      </c>
      <c r="AA46" s="842"/>
    </row>
    <row r="47" spans="1:27" s="34" customFormat="1" ht="12.6" customHeight="1">
      <c r="A47" s="420"/>
      <c r="B47" s="847"/>
      <c r="C47" s="310"/>
      <c r="D47" s="310"/>
      <c r="E47" s="310"/>
      <c r="F47" s="310"/>
      <c r="G47" s="310"/>
      <c r="H47" s="310"/>
      <c r="I47" s="310"/>
      <c r="J47" s="310"/>
      <c r="K47" s="310"/>
      <c r="L47" s="310"/>
      <c r="M47" s="310"/>
      <c r="N47" s="310"/>
      <c r="O47" s="310"/>
      <c r="P47" s="310"/>
      <c r="Q47" s="310"/>
      <c r="R47" s="310"/>
      <c r="S47" s="310"/>
      <c r="T47" s="310"/>
      <c r="U47" s="310"/>
      <c r="V47" s="310"/>
      <c r="W47" s="310"/>
      <c r="X47" s="310"/>
      <c r="Y47" s="310"/>
      <c r="Z47" s="310"/>
      <c r="AA47" s="311"/>
    </row>
    <row r="48" spans="1:27" s="34" customFormat="1" ht="12.6" customHeight="1">
      <c r="A48" s="420" t="s">
        <v>153</v>
      </c>
      <c r="B48" s="846">
        <f>AVERAGE(C48:V48)</f>
        <v>0.99794899514057178</v>
      </c>
      <c r="C48" s="841">
        <f t="shared" ref="C48:V48" si="15">C46</f>
        <v>0.91945538633022872</v>
      </c>
      <c r="D48" s="841">
        <f t="shared" si="15"/>
        <v>0.68811646529168935</v>
      </c>
      <c r="E48" s="841">
        <f t="shared" si="15"/>
        <v>0.70875995925044011</v>
      </c>
      <c r="F48" s="841">
        <f t="shared" si="15"/>
        <v>0.77851042183369557</v>
      </c>
      <c r="G48" s="841">
        <f t="shared" si="15"/>
        <v>0.83664419194403772</v>
      </c>
      <c r="H48" s="841">
        <f t="shared" si="15"/>
        <v>0.86174351770235891</v>
      </c>
      <c r="I48" s="841">
        <f t="shared" si="15"/>
        <v>0.88759582323342956</v>
      </c>
      <c r="J48" s="841">
        <f t="shared" si="15"/>
        <v>0.91422369793043257</v>
      </c>
      <c r="K48" s="841">
        <f t="shared" si="15"/>
        <v>0.9416504088683455</v>
      </c>
      <c r="L48" s="841">
        <f t="shared" si="15"/>
        <v>0.96989992113439583</v>
      </c>
      <c r="M48" s="841">
        <f t="shared" si="15"/>
        <v>0.99899691876842778</v>
      </c>
      <c r="N48" s="841">
        <f t="shared" si="15"/>
        <v>1.0289668263314806</v>
      </c>
      <c r="O48" s="841">
        <f t="shared" si="15"/>
        <v>1.0598358311214247</v>
      </c>
      <c r="P48" s="841">
        <f t="shared" si="15"/>
        <v>1.0916309060550677</v>
      </c>
      <c r="Q48" s="841">
        <f t="shared" si="15"/>
        <v>1.1243798332367199</v>
      </c>
      <c r="R48" s="841">
        <f t="shared" si="15"/>
        <v>1.1581112282338211</v>
      </c>
      <c r="S48" s="841">
        <f t="shared" si="15"/>
        <v>1.1928545650808358</v>
      </c>
      <c r="T48" s="841">
        <f t="shared" si="15"/>
        <v>1.2286402020332607</v>
      </c>
      <c r="U48" s="841">
        <f t="shared" si="15"/>
        <v>1.2654994080942585</v>
      </c>
      <c r="V48" s="841">
        <f t="shared" si="15"/>
        <v>1.3034643903370862</v>
      </c>
      <c r="W48" s="841">
        <f>W46</f>
        <v>2.009759918674491</v>
      </c>
      <c r="X48" s="841" t="e">
        <f>X46</f>
        <v>#DIV/0!</v>
      </c>
      <c r="Y48" s="841" t="e">
        <f>Y46</f>
        <v>#DIV/0!</v>
      </c>
      <c r="Z48" s="841" t="e">
        <f>Z46</f>
        <v>#DIV/0!</v>
      </c>
      <c r="AA48" s="842"/>
    </row>
    <row r="49" spans="1:27" s="34" customFormat="1" ht="12.6" customHeight="1">
      <c r="A49" s="420" t="s">
        <v>80</v>
      </c>
      <c r="B49" s="846">
        <f>AVERAGE(C49:V49)</f>
        <v>3.9308201021841981E-2</v>
      </c>
      <c r="C49" s="887">
        <f>IF(Operations!C3&gt;'Project Assumptions'!$I$15+1,0,C33/'Project Assumptions'!$I$10/SUM('Book Income Statement'!D7:D9))</f>
        <v>8.2206066967951158E-2</v>
      </c>
      <c r="D49" s="887">
        <f>IF(Operations!D3&gt;'Project Assumptions'!$I$15+1,0,D33/'Project Assumptions'!$I$10/SUM('Book Income Statement'!E7:E9))</f>
        <v>4.7953539064638173E-2</v>
      </c>
      <c r="E49" s="887">
        <f>IF(Operations!E3&gt;'Project Assumptions'!$I$15+1,0,E33/'Project Assumptions'!$I$10/SUM('Book Income Statement'!F7:F9))</f>
        <v>4.7953539064638173E-2</v>
      </c>
      <c r="F49" s="887">
        <f>IF(Operations!F3&gt;'Project Assumptions'!$I$15+1,0,F33/'Project Assumptions'!$I$10/SUM('Book Income Statement'!G7:G9))</f>
        <v>4.7953539064638173E-2</v>
      </c>
      <c r="G49" s="887">
        <f>IF(Operations!G3&gt;'Project Assumptions'!$I$15+1,0,G33/'Project Assumptions'!$I$10/SUM('Book Income Statement'!H7:H9))</f>
        <v>4.7953539064638173E-2</v>
      </c>
      <c r="H49" s="887">
        <f>IF(Operations!H3&gt;'Project Assumptions'!$I$15+1,0,H33/'Project Assumptions'!$I$10/SUM('Book Income Statement'!I7:I9))</f>
        <v>4.2199114376881598E-2</v>
      </c>
      <c r="I49" s="887">
        <f>IF(Operations!I3&gt;'Project Assumptions'!$I$15+1,0,I33/'Project Assumptions'!$I$10/SUM('Book Income Statement'!J7:J9))</f>
        <v>4.2199114376881598E-2</v>
      </c>
      <c r="J49" s="887">
        <f>IF(Operations!J3&gt;'Project Assumptions'!$I$15+1,0,J33/'Project Assumptions'!$I$10/SUM('Book Income Statement'!K7:K9))</f>
        <v>4.2199114376881598E-2</v>
      </c>
      <c r="K49" s="887">
        <f>IF(Operations!K3&gt;'Project Assumptions'!$I$15+1,0,K33/'Project Assumptions'!$I$10/SUM('Book Income Statement'!L7:L9))</f>
        <v>4.2199114376881598E-2</v>
      </c>
      <c r="L49" s="887">
        <f>IF(Operations!L3&gt;'Project Assumptions'!$I$15+1,0,L33/'Project Assumptions'!$I$10/SUM('Book Income Statement'!M7:M9))</f>
        <v>3.6444689689125016E-2</v>
      </c>
      <c r="M49" s="887">
        <f>IF(Operations!M3&gt;'Project Assumptions'!$I$15+1,0,M33/'Project Assumptions'!$I$10/SUM('Book Income Statement'!N7:N9))</f>
        <v>3.6444689689125016E-2</v>
      </c>
      <c r="N49" s="887">
        <f>IF(Operations!N3&gt;'Project Assumptions'!$I$15+1,0,N33/'Project Assumptions'!$I$10/SUM('Book Income Statement'!O7:O9))</f>
        <v>3.6444689689125016E-2</v>
      </c>
      <c r="O49" s="887">
        <f>IF(Operations!O3&gt;'Project Assumptions'!$I$15+1,0,O33/'Project Assumptions'!$I$10/SUM('Book Income Statement'!P7:P9))</f>
        <v>3.6444689689125016E-2</v>
      </c>
      <c r="P49" s="887">
        <f>IF(Operations!P3&gt;'Project Assumptions'!$I$15+1,0,P33/'Project Assumptions'!$I$10/SUM('Book Income Statement'!Q7:Q9))</f>
        <v>3.0690265001368438E-2</v>
      </c>
      <c r="Q49" s="887">
        <f>IF(Operations!Q3&gt;'Project Assumptions'!$I$15+1,0,Q33/'Project Assumptions'!$I$10/SUM('Book Income Statement'!R7:R9))</f>
        <v>3.0690265001368438E-2</v>
      </c>
      <c r="R49" s="887">
        <f>IF(Operations!R3&gt;'Project Assumptions'!$I$15+1,0,R33/'Project Assumptions'!$I$10/SUM('Book Income Statement'!S7:S9))</f>
        <v>3.0690265001368438E-2</v>
      </c>
      <c r="S49" s="887">
        <f>IF(Operations!S3&gt;'Project Assumptions'!$I$15+1,0,S33/'Project Assumptions'!$I$10/SUM('Book Income Statement'!T7:T9))</f>
        <v>3.0690265001368438E-2</v>
      </c>
      <c r="T49" s="887">
        <f>IF(Operations!T3&gt;'Project Assumptions'!$I$15+1,0,T33/'Project Assumptions'!$I$10/SUM('Book Income Statement'!U7:U9))</f>
        <v>2.4935840313611856E-2</v>
      </c>
      <c r="U49" s="887">
        <f>IF(Operations!U3&gt;'Project Assumptions'!$I$15+1,0,U33/'Project Assumptions'!$I$10/SUM('Book Income Statement'!V7:V9))</f>
        <v>2.4935840313611856E-2</v>
      </c>
      <c r="V49" s="887">
        <f>IF(Operations!V3&gt;'Project Assumptions'!$I$15+1,0,V33/'Project Assumptions'!$I$10/SUM('Book Income Statement'!W7:W9))</f>
        <v>2.4935840313611856E-2</v>
      </c>
      <c r="W49" s="887">
        <f>IF(Operations!W3&gt;'Project Assumptions'!$I$15+1,0,W33/'Project Assumptions'!$I$10/SUM('Book Income Statement'!X7:X9))</f>
        <v>5.984601675266845E-2</v>
      </c>
      <c r="X49" s="887" t="e">
        <f>IF(Operations!X3&gt;'Project Assumptions'!$I$15+1,0,X33/'Project Assumptions'!$I$10/SUM('Book Income Statement'!Y7:Y9))</f>
        <v>#DIV/0!</v>
      </c>
      <c r="Y49" s="887" t="e">
        <f>IF(Operations!Y3&gt;'Project Assumptions'!$I$15+1,0,Y33/'Project Assumptions'!$I$10/SUM('Book Income Statement'!Z7:Z9))</f>
        <v>#DIV/0!</v>
      </c>
      <c r="Z49" s="887" t="e">
        <f>IF(Operations!Z3&gt;'Project Assumptions'!$I$15+1,0,Z33/'Project Assumptions'!$I$10/SUM('Book Income Statement'!AA7:AA9))</f>
        <v>#DIV/0!</v>
      </c>
      <c r="AA49" s="1000"/>
    </row>
    <row r="50" spans="1:27" s="34" customFormat="1" ht="12.6" customHeight="1">
      <c r="A50" s="420" t="s">
        <v>515</v>
      </c>
      <c r="B50" s="846">
        <f>AVERAGE(C50:V50)</f>
        <v>1.0669720994869989E-2</v>
      </c>
      <c r="C50" s="887">
        <f>IF(Operations!C3&gt;'Project Assumptions'!$I$15+1,0,C34/'Project Assumptions'!$I$10/SUM('Book Income Statement'!D7:D9))</f>
        <v>2.5437745418233088E-2</v>
      </c>
      <c r="D50" s="887">
        <f>IF(Operations!D3&gt;'Project Assumptions'!$I$15+1,0,D34/'Project Assumptions'!$I$10/SUM('Book Income Statement'!E7:E9))</f>
        <v>9.892456551535091E-3</v>
      </c>
      <c r="E50" s="887">
        <f>IF(Operations!E3&gt;'Project Assumptions'!$I$15+1,0,E34/'Project Assumptions'!$I$10/SUM('Book Income Statement'!F7:F9))</f>
        <v>9.892456551535091E-3</v>
      </c>
      <c r="F50" s="887">
        <f>IF(Operations!F3&gt;'Project Assumptions'!$I$15+1,0,F34/'Project Assumptions'!$I$10/SUM('Book Income Statement'!G7:G9))</f>
        <v>9.892456551535091E-3</v>
      </c>
      <c r="G50" s="887">
        <f>IF(Operations!G3&gt;'Project Assumptions'!$I$15+1,0,G34/'Project Assumptions'!$I$10/SUM('Book Income Statement'!H7:H9))</f>
        <v>9.892456551535091E-3</v>
      </c>
      <c r="H50" s="887">
        <f>IF(Operations!H3&gt;'Project Assumptions'!$I$15+1,0,H34/'Project Assumptions'!$I$10/SUM('Book Income Statement'!I7:I9))</f>
        <v>9.892456551535091E-3</v>
      </c>
      <c r="I50" s="887">
        <f>IF(Operations!I3&gt;'Project Assumptions'!$I$15+1,0,I34/'Project Assumptions'!$I$10/SUM('Book Income Statement'!J7:J9))</f>
        <v>9.892456551535091E-3</v>
      </c>
      <c r="J50" s="887">
        <f>IF(Operations!J3&gt;'Project Assumptions'!$I$15+1,0,J34/'Project Assumptions'!$I$10/SUM('Book Income Statement'!K7:K9))</f>
        <v>9.892456551535091E-3</v>
      </c>
      <c r="K50" s="887">
        <f>IF(Operations!K3&gt;'Project Assumptions'!$I$15+1,0,K34/'Project Assumptions'!$I$10/SUM('Book Income Statement'!L7:L9))</f>
        <v>9.892456551535091E-3</v>
      </c>
      <c r="L50" s="887">
        <f>IF(Operations!L3&gt;'Project Assumptions'!$I$15+1,0,L34/'Project Assumptions'!$I$10/SUM('Book Income Statement'!M7:M9))</f>
        <v>9.892456551535091E-3</v>
      </c>
      <c r="M50" s="887">
        <f>IF(Operations!M3&gt;'Project Assumptions'!$I$15+1,0,M34/'Project Assumptions'!$I$10/SUM('Book Income Statement'!N7:N9))</f>
        <v>9.892456551535091E-3</v>
      </c>
      <c r="N50" s="887">
        <f>IF(Operations!N3&gt;'Project Assumptions'!$I$15+1,0,N34/'Project Assumptions'!$I$10/SUM('Book Income Statement'!O7:O9))</f>
        <v>9.892456551535091E-3</v>
      </c>
      <c r="O50" s="887">
        <f>IF(Operations!O3&gt;'Project Assumptions'!$I$15+1,0,O34/'Project Assumptions'!$I$10/SUM('Book Income Statement'!P7:P9))</f>
        <v>9.892456551535091E-3</v>
      </c>
      <c r="P50" s="887">
        <f>IF(Operations!P3&gt;'Project Assumptions'!$I$15+1,0,P34/'Project Assumptions'!$I$10/SUM('Book Income Statement'!Q7:Q9))</f>
        <v>9.892456551535091E-3</v>
      </c>
      <c r="Q50" s="887">
        <f>IF(Operations!Q3&gt;'Project Assumptions'!$I$15+1,0,Q34/'Project Assumptions'!$I$10/SUM('Book Income Statement'!R7:R9))</f>
        <v>9.892456551535091E-3</v>
      </c>
      <c r="R50" s="887">
        <f>IF(Operations!R3&gt;'Project Assumptions'!$I$15+1,0,R34/'Project Assumptions'!$I$10/SUM('Book Income Statement'!S7:S9))</f>
        <v>9.892456551535091E-3</v>
      </c>
      <c r="S50" s="887">
        <f>IF(Operations!S3&gt;'Project Assumptions'!$I$15+1,0,S34/'Project Assumptions'!$I$10/SUM('Book Income Statement'!T7:T9))</f>
        <v>9.892456551535091E-3</v>
      </c>
      <c r="T50" s="887">
        <f>IF(Operations!T3&gt;'Project Assumptions'!$I$15+1,0,T34/'Project Assumptions'!$I$10/SUM('Book Income Statement'!U7:U9))</f>
        <v>9.892456551535091E-3</v>
      </c>
      <c r="U50" s="887">
        <f>IF(Operations!U3&gt;'Project Assumptions'!$I$15+1,0,U34/'Project Assumptions'!$I$10/SUM('Book Income Statement'!V7:V9))</f>
        <v>9.892456551535091E-3</v>
      </c>
      <c r="V50" s="887">
        <f>IF(Operations!V3&gt;'Project Assumptions'!$I$15+1,0,V34/'Project Assumptions'!$I$10/SUM('Book Income Statement'!W7:W9))</f>
        <v>9.892456551535091E-3</v>
      </c>
      <c r="W50" s="887">
        <f>IF(Operations!W3&gt;'Project Assumptions'!$I$15+1,0,W34/'Project Assumptions'!$I$10/SUM('Book Income Statement'!X7:X9))</f>
        <v>2.3741895723684216E-2</v>
      </c>
      <c r="X50" s="887" t="e">
        <f>IF(Operations!X3&gt;'Project Assumptions'!$I$15+1,0,X34/'Project Assumptions'!$I$10/SUM('Book Income Statement'!Y7:Y9))</f>
        <v>#DIV/0!</v>
      </c>
      <c r="Y50" s="887" t="e">
        <f>IF(Operations!Y3&gt;'Project Assumptions'!$I$15+1,0,Y34/'Project Assumptions'!$I$10/SUM('Book Income Statement'!Z7:Z9))</f>
        <v>#DIV/0!</v>
      </c>
      <c r="Z50" s="887" t="e">
        <f>IF(Operations!Z3&gt;'Project Assumptions'!$I$15+1,0,Z34/'Project Assumptions'!$I$10/SUM('Book Income Statement'!AA7:AA9))</f>
        <v>#DIV/0!</v>
      </c>
      <c r="AA50" s="842"/>
    </row>
    <row r="51" spans="1:27" s="34" customFormat="1" ht="15" customHeight="1">
      <c r="A51" s="420" t="s">
        <v>154</v>
      </c>
      <c r="B51" s="843">
        <f>AVERAGE(C51:V51)</f>
        <v>2.4552715983278519</v>
      </c>
      <c r="C51" s="844">
        <f>IF(Operations!C3&gt;'Project Assumptions'!$I$15+1,0,'Returns Summary'!C23/'Project Assumptions'!$I$10/SUM('Book Income Statement'!D7:D9))</f>
        <v>5.0717422697368422</v>
      </c>
      <c r="D51" s="844">
        <f>IF(Operations!D3&gt;'Project Assumptions'!$I$15+1,0,'Returns Summary'!D23/'Project Assumptions'!$I$10/SUM('Book Income Statement'!E7:E9))</f>
        <v>2.8903192674067983</v>
      </c>
      <c r="E51" s="844">
        <f>IF(Operations!E3&gt;'Project Assumptions'!$I$15+1,0,'Returns Summary'!E23/'Project Assumptions'!$I$10/SUM('Book Income Statement'!F7:F9))</f>
        <v>3.194997759046053</v>
      </c>
      <c r="F51" s="844">
        <f>IF(Operations!F3&gt;'Project Assumptions'!$I$15+1,0,'Returns Summary'!F23/'Project Assumptions'!$I$10/SUM('Book Income Statement'!G7:G9))</f>
        <v>3.4714495716831144</v>
      </c>
      <c r="G51" s="844">
        <f>IF(Operations!G3&gt;'Project Assumptions'!$I$15+1,0,'Returns Summary'!G23/'Project Assumptions'!$I$10/SUM('Book Income Statement'!H7:H9))</f>
        <v>2.6043416461074562</v>
      </c>
      <c r="H51" s="844">
        <f>IF(Operations!H3&gt;'Project Assumptions'!$I$15+1,0,'Returns Summary'!H23/'Project Assumptions'!$I$10/SUM('Book Income Statement'!I7:I9))</f>
        <v>2.5257309821820173</v>
      </c>
      <c r="I51" s="844">
        <f>IF(Operations!I3&gt;'Project Assumptions'!$I$15+1,0,'Returns Summary'!I23/'Project Assumptions'!$I$10/SUM('Book Income Statement'!J7:J9))</f>
        <v>2.5825561735197367</v>
      </c>
      <c r="J51" s="844">
        <f>IF(Operations!J3&gt;'Project Assumptions'!$I$15+1,0,'Returns Summary'!J23/'Project Assumptions'!$I$10/SUM('Book Income Statement'!K7:K9))</f>
        <v>2.4928668566337717</v>
      </c>
      <c r="K51" s="844">
        <f>IF(Operations!K3&gt;'Project Assumptions'!$I$15+1,0,'Returns Summary'!K23/'Project Assumptions'!$I$10/SUM('Book Income Statement'!L7:L9))</f>
        <v>3.148928636239035</v>
      </c>
      <c r="L51" s="844">
        <f>IF(Operations!L3&gt;'Project Assumptions'!$I$15+1,0,'Returns Summary'!L23/'Project Assumptions'!$I$10/SUM('Book Income Statement'!M7:M9))</f>
        <v>3.5110973648574562</v>
      </c>
      <c r="M51" s="844">
        <f>IF(Operations!M3&gt;'Project Assumptions'!$I$15+1,0,'Returns Summary'!M23/'Project Assumptions'!$I$10/SUM('Book Income Statement'!N7:N9))</f>
        <v>1.461271616776316</v>
      </c>
      <c r="N51" s="844">
        <f>IF(Operations!N3&gt;'Project Assumptions'!$I$15+1,0,'Returns Summary'!N23/'Project Assumptions'!$I$10/SUM('Book Income Statement'!O7:O9))</f>
        <v>1.5523928601973684</v>
      </c>
      <c r="O51" s="844">
        <f>IF(Operations!O3&gt;'Project Assumptions'!$I$15+1,0,'Returns Summary'!O23/'Project Assumptions'!$I$10/SUM('Book Income Statement'!P7:P9))</f>
        <v>1.496999595394737</v>
      </c>
      <c r="P51" s="844">
        <f>IF(Operations!P3&gt;'Project Assumptions'!$I$15+1,0,'Returns Summary'!P23/'Project Assumptions'!$I$10/SUM('Book Income Statement'!Q7:Q9))</f>
        <v>1.4416063305921056</v>
      </c>
      <c r="Q51" s="844">
        <f>IF(Operations!Q3&gt;'Project Assumptions'!$I$15+1,0,'Returns Summary'!Q23/'Project Assumptions'!$I$10/SUM('Book Income Statement'!R7:R9))</f>
        <v>1.386213065789474</v>
      </c>
      <c r="R51" s="844">
        <f>IF(Operations!R3&gt;'Project Assumptions'!$I$15+1,0,'Returns Summary'!R23/'Project Assumptions'!$I$10/SUM('Book Income Statement'!S7:S9))</f>
        <v>1.3308198009868426</v>
      </c>
      <c r="S51" s="844">
        <f>IF(Operations!S3&gt;'Project Assumptions'!$I$15+1,0,'Returns Summary'!S23/'Project Assumptions'!$I$10/SUM('Book Income Statement'!T7:T9))</f>
        <v>1.9526058125000001</v>
      </c>
      <c r="T51" s="844">
        <f>IF(Operations!T3&gt;'Project Assumptions'!$I$15+1,0,'Returns Summary'!T23/'Project Assumptions'!$I$10/SUM('Book Income Statement'!U7:U9))</f>
        <v>2.1126909934210532</v>
      </c>
      <c r="U51" s="844">
        <f>IF(Operations!U3&gt;'Project Assumptions'!$I$15+1,0,'Returns Summary'!U23/'Project Assumptions'!$I$10/SUM('Book Income Statement'!V7:V9))</f>
        <v>2.3860547236842105</v>
      </c>
      <c r="V51" s="844">
        <f>IF(Operations!V3&gt;'Project Assumptions'!$I$15+1,0,'Returns Summary'!V23/'Project Assumptions'!$I$10/SUM('Book Income Statement'!W7:W9))</f>
        <v>2.4907466398026323</v>
      </c>
      <c r="W51" s="844">
        <f>IF(Operations!W3&gt;'Project Assumptions'!$I$15+1,0,'Returns Summary'!W23/'Project Assumptions'!$I$10/SUM('Book Income Statement'!X7:X9))</f>
        <v>0</v>
      </c>
      <c r="X51" s="844" t="e">
        <f>IF(Operations!X3&gt;'Project Assumptions'!$I$15+1,0,'Returns Summary'!X23/'Project Assumptions'!$I$10/SUM('Book Income Statement'!Y7:Y9))</f>
        <v>#DIV/0!</v>
      </c>
      <c r="Y51" s="844" t="e">
        <f>IF(Operations!Y3&gt;'Project Assumptions'!$I$15+1,0,'Returns Summary'!Y23/'Project Assumptions'!$I$10/SUM('Book Income Statement'!Z7:Z9))</f>
        <v>#DIV/0!</v>
      </c>
      <c r="Z51" s="844" t="e">
        <f>IF(Operations!Z3&gt;'Project Assumptions'!$I$15+1,0,'Returns Summary'!Z23/'Project Assumptions'!$I$10/SUM('Book Income Statement'!AA7:AA9))</f>
        <v>#DIV/0!</v>
      </c>
      <c r="AA51" s="845"/>
    </row>
    <row r="52" spans="1:27" s="34" customFormat="1" ht="12.6" customHeight="1">
      <c r="A52" s="420" t="s">
        <v>559</v>
      </c>
      <c r="B52" s="846">
        <f>AVERAGE(C52:V52)</f>
        <v>3.5031985154851348</v>
      </c>
      <c r="C52" s="841">
        <f t="shared" ref="C52:V52" si="16">SUM(C48:C51)</f>
        <v>6.098841468453255</v>
      </c>
      <c r="D52" s="841">
        <f t="shared" si="16"/>
        <v>3.6362817283146609</v>
      </c>
      <c r="E52" s="841">
        <f t="shared" si="16"/>
        <v>3.9616037139126665</v>
      </c>
      <c r="F52" s="841">
        <f t="shared" si="16"/>
        <v>4.3078059891329836</v>
      </c>
      <c r="G52" s="841">
        <f t="shared" si="16"/>
        <v>3.4988318336676674</v>
      </c>
      <c r="H52" s="841">
        <f t="shared" si="16"/>
        <v>3.4395660708127931</v>
      </c>
      <c r="I52" s="841">
        <f t="shared" si="16"/>
        <v>3.5222435676815831</v>
      </c>
      <c r="J52" s="841">
        <f t="shared" si="16"/>
        <v>3.4591821254926209</v>
      </c>
      <c r="K52" s="841">
        <f t="shared" si="16"/>
        <v>4.1426706160357973</v>
      </c>
      <c r="L52" s="841">
        <f t="shared" si="16"/>
        <v>4.5273344322325118</v>
      </c>
      <c r="M52" s="841">
        <f t="shared" si="16"/>
        <v>2.5066056817854037</v>
      </c>
      <c r="N52" s="841">
        <f t="shared" si="16"/>
        <v>2.6276968327695092</v>
      </c>
      <c r="O52" s="841">
        <f t="shared" si="16"/>
        <v>2.6031725727568218</v>
      </c>
      <c r="P52" s="841">
        <f t="shared" si="16"/>
        <v>2.5738199582000769</v>
      </c>
      <c r="Q52" s="841">
        <f t="shared" si="16"/>
        <v>2.5511756205790972</v>
      </c>
      <c r="R52" s="841">
        <f t="shared" si="16"/>
        <v>2.5295137507735674</v>
      </c>
      <c r="S52" s="841">
        <f t="shared" si="16"/>
        <v>3.1860430991337392</v>
      </c>
      <c r="T52" s="841">
        <f t="shared" si="16"/>
        <v>3.3761594923194611</v>
      </c>
      <c r="U52" s="841">
        <f t="shared" si="16"/>
        <v>3.6863824286436158</v>
      </c>
      <c r="V52" s="841">
        <f t="shared" si="16"/>
        <v>3.8290393270048657</v>
      </c>
      <c r="W52" s="841">
        <f>SUM(W48:W51)</f>
        <v>2.0933478311508438</v>
      </c>
      <c r="X52" s="841" t="e">
        <f>SUM(X48:X51)</f>
        <v>#DIV/0!</v>
      </c>
      <c r="Y52" s="841" t="e">
        <f>SUM(Y48:Y51)</f>
        <v>#DIV/0!</v>
      </c>
      <c r="Z52" s="841" t="e">
        <f>SUM(Z48:Z51)</f>
        <v>#DIV/0!</v>
      </c>
      <c r="AA52" s="842"/>
    </row>
    <row r="53" spans="1:27" s="34" customFormat="1" ht="12.6" customHeight="1">
      <c r="A53" s="420"/>
      <c r="B53" s="847"/>
      <c r="C53" s="848"/>
      <c r="D53" s="848"/>
      <c r="E53" s="848"/>
      <c r="F53" s="848"/>
      <c r="G53" s="848"/>
      <c r="H53" s="848"/>
      <c r="I53" s="848"/>
      <c r="J53" s="848"/>
      <c r="K53" s="848"/>
      <c r="L53" s="848"/>
      <c r="M53" s="848"/>
      <c r="N53" s="848"/>
      <c r="O53" s="848"/>
      <c r="P53" s="848"/>
      <c r="Q53" s="848"/>
      <c r="R53" s="848"/>
      <c r="S53" s="848"/>
      <c r="T53" s="848"/>
      <c r="U53" s="848"/>
      <c r="V53" s="848"/>
      <c r="W53" s="848"/>
      <c r="X53" s="848"/>
      <c r="Y53" s="848"/>
      <c r="Z53" s="848"/>
      <c r="AA53" s="849"/>
    </row>
    <row r="54" spans="1:27" s="34" customFormat="1" ht="12.6" customHeight="1">
      <c r="A54" s="420" t="s">
        <v>554</v>
      </c>
      <c r="B54" s="846">
        <f>AVERAGE(C54:V54)</f>
        <v>0.27641977797342676</v>
      </c>
      <c r="C54" s="848">
        <f>C39/'Project Assumptions'!$I$10/SUM('Book Income Statement'!D7:D9)</f>
        <v>0.20574315262095552</v>
      </c>
      <c r="D54" s="848">
        <f>D39/'Project Assumptions'!$I$10/SUM('Book Income Statement'!E7:E9)</f>
        <v>0.21191544719958413</v>
      </c>
      <c r="E54" s="848">
        <f>E39/'Project Assumptions'!$I$10/SUM('Book Income Statement'!F7:F9)</f>
        <v>0.21827291061557166</v>
      </c>
      <c r="F54" s="848">
        <f>F39/'Project Assumptions'!$I$10/SUM('Book Income Statement'!G7:G9)</f>
        <v>0.22482109793403882</v>
      </c>
      <c r="G54" s="848">
        <f>G39/'Project Assumptions'!$I$10/SUM('Book Income Statement'!H7:H9)</f>
        <v>0.23156573087205998</v>
      </c>
      <c r="H54" s="848">
        <f>H39/'Project Assumptions'!$I$10/SUM('Book Income Statement'!I7:I9)</f>
        <v>0.23851270279822182</v>
      </c>
      <c r="I54" s="848">
        <f>I39/'Project Assumptions'!$I$10/SUM('Book Income Statement'!J7:J9)</f>
        <v>0.24566808388216846</v>
      </c>
      <c r="J54" s="848">
        <f>J39/'Project Assumptions'!$I$10/SUM('Book Income Statement'!K7:K9)</f>
        <v>0.25303812639863349</v>
      </c>
      <c r="K54" s="848">
        <f>K39/'Project Assumptions'!$I$10/SUM('Book Income Statement'!L7:L9)</f>
        <v>0.26062927019059251</v>
      </c>
      <c r="L54" s="848">
        <f>L39/'Project Assumptions'!$I$10/SUM('Book Income Statement'!M7:M9)</f>
        <v>0.26844814829631031</v>
      </c>
      <c r="M54" s="848">
        <f>M39/'Project Assumptions'!$I$10/SUM('Book Income Statement'!N7:N9)</f>
        <v>0.27650159274519959</v>
      </c>
      <c r="N54" s="848">
        <f>N39/'Project Assumptions'!$I$10/SUM('Book Income Statement'!O7:O9)</f>
        <v>0.28479664052755554</v>
      </c>
      <c r="O54" s="848">
        <f>O39/'Project Assumptions'!$I$10/SUM('Book Income Statement'!P7:P9)</f>
        <v>0.29334053974338214</v>
      </c>
      <c r="P54" s="848">
        <f>P39/'Project Assumptions'!$I$10/SUM('Book Income Statement'!Q7:Q9)</f>
        <v>0.30214075593568368</v>
      </c>
      <c r="Q54" s="848">
        <f>Q39/'Project Assumptions'!$I$10/SUM('Book Income Statement'!R7:R9)</f>
        <v>0.31120497861375424</v>
      </c>
      <c r="R54" s="848">
        <f>R39/'Project Assumptions'!$I$10/SUM('Book Income Statement'!S7:S9)</f>
        <v>0.32054112797216677</v>
      </c>
      <c r="S54" s="848">
        <f>S39/'Project Assumptions'!$I$10/SUM('Book Income Statement'!T7:T9)</f>
        <v>0.33015736181133182</v>
      </c>
      <c r="T54" s="848">
        <f>T39/'Project Assumptions'!$I$10/SUM('Book Income Statement'!U7:U9)</f>
        <v>0.34006208266567173</v>
      </c>
      <c r="U54" s="848">
        <f>U39/'Project Assumptions'!$I$10/SUM('Book Income Statement'!V7:V9)</f>
        <v>0.35026394514564196</v>
      </c>
      <c r="V54" s="848">
        <f>V39/'Project Assumptions'!$I$10/SUM('Book Income Statement'!W7:W9)</f>
        <v>0.36077186350001117</v>
      </c>
      <c r="W54" s="848">
        <f>W39/'Project Assumptions'!$I$10/SUM('Book Income Statement'!X7:X9)</f>
        <v>0.37159501940501144</v>
      </c>
      <c r="X54" s="848" t="e">
        <f>X39/'Project Assumptions'!$I$10/SUM('Book Income Statement'!Y7:Y9)</f>
        <v>#DIV/0!</v>
      </c>
      <c r="Y54" s="848" t="e">
        <f>Y39/'Project Assumptions'!$I$10/SUM('Book Income Statement'!Z7:Z9)</f>
        <v>#DIV/0!</v>
      </c>
      <c r="Z54" s="848" t="e">
        <f>Z39/'Project Assumptions'!$I$10/SUM('Book Income Statement'!AA7:AA9)</f>
        <v>#DIV/0!</v>
      </c>
      <c r="AA54" s="849"/>
    </row>
    <row r="55" spans="1:27" s="34" customFormat="1" ht="12.6" customHeight="1">
      <c r="A55" s="420" t="s">
        <v>365</v>
      </c>
      <c r="B55" s="850">
        <f>AVERAGE(C55:V55)</f>
        <v>0.1608604544716094</v>
      </c>
      <c r="C55" s="848">
        <f>C40/'Project Assumptions'!$I$10/SUM('Book Income Statement'!D7:D9)</f>
        <v>0.12598300438596491</v>
      </c>
      <c r="D55" s="848">
        <f>D40/'Project Assumptions'!$I$10/SUM('Book Income Statement'!E7:E9)</f>
        <v>0.12307370614035089</v>
      </c>
      <c r="E55" s="848">
        <f>E40/'Project Assumptions'!$I$10/SUM('Book Income Statement'!F7:F9)</f>
        <v>0.12676591732456141</v>
      </c>
      <c r="F55" s="848">
        <f>F40/'Project Assumptions'!$I$10/SUM('Book Income Statement'!G7:G9)</f>
        <v>0.13056889484429823</v>
      </c>
      <c r="G55" s="848">
        <f>G40/'Project Assumptions'!$I$10/SUM('Book Income Statement'!H7:H9)</f>
        <v>0.13448596168962718</v>
      </c>
      <c r="H55" s="848">
        <f>H40/'Project Assumptions'!$I$10/SUM('Book Income Statement'!I7:I9)</f>
        <v>0.13852054054031601</v>
      </c>
      <c r="I55" s="848">
        <f>I40/'Project Assumptions'!$I$10/SUM('Book Income Statement'!J7:J9)</f>
        <v>0.14267615675652548</v>
      </c>
      <c r="J55" s="848">
        <f>J40/'Project Assumptions'!$I$10/SUM('Book Income Statement'!K7:K9)</f>
        <v>0.14695644145922124</v>
      </c>
      <c r="K55" s="848">
        <f>K40/'Project Assumptions'!$I$10/SUM('Book Income Statement'!L7:L9)</f>
        <v>0.15136513470299787</v>
      </c>
      <c r="L55" s="848">
        <f>L40/'Project Assumptions'!$I$10/SUM('Book Income Statement'!M7:M9)</f>
        <v>0.15590608874408782</v>
      </c>
      <c r="M55" s="848">
        <f>M40/'Project Assumptions'!$I$10/SUM('Book Income Statement'!N7:N9)</f>
        <v>0.16058327140641046</v>
      </c>
      <c r="N55" s="848">
        <f>N40/'Project Assumptions'!$I$10/SUM('Book Income Statement'!O7:O9)</f>
        <v>0.16540076954860275</v>
      </c>
      <c r="O55" s="848">
        <f>O40/'Project Assumptions'!$I$10/SUM('Book Income Statement'!P7:P9)</f>
        <v>0.17036279263506082</v>
      </c>
      <c r="P55" s="848">
        <f>P40/'Project Assumptions'!$I$10/SUM('Book Income Statement'!Q7:Q9)</f>
        <v>0.17547367641411263</v>
      </c>
      <c r="Q55" s="848">
        <f>Q40/'Project Assumptions'!$I$10/SUM('Book Income Statement'!R7:R9)</f>
        <v>0.18073788670653604</v>
      </c>
      <c r="R55" s="848">
        <f>R40/'Project Assumptions'!$I$10/SUM('Book Income Statement'!S7:S9)</f>
        <v>0.18616002330773207</v>
      </c>
      <c r="S55" s="848">
        <f>S40/'Project Assumptions'!$I$10/SUM('Book Income Statement'!T7:T9)</f>
        <v>0.19174482400696405</v>
      </c>
      <c r="T55" s="848">
        <f>T40/'Project Assumptions'!$I$10/SUM('Book Income Statement'!U7:U9)</f>
        <v>0.19749716872717302</v>
      </c>
      <c r="U55" s="848">
        <f>U40/'Project Assumptions'!$I$10/SUM('Book Income Statement'!V7:V9)</f>
        <v>0.20342208378898818</v>
      </c>
      <c r="V55" s="848">
        <f>V40/'Project Assumptions'!$I$10/SUM('Book Income Statement'!W7:W9)</f>
        <v>0.20952474630265783</v>
      </c>
      <c r="W55" s="848">
        <f>W40/'Project Assumptions'!$I$10/SUM('Book Income Statement'!X7:X9)</f>
        <v>0.23879899726977044</v>
      </c>
      <c r="X55" s="848" t="e">
        <f>X40/'Project Assumptions'!$I$10/SUM('Book Income Statement'!Y7:Y9)</f>
        <v>#DIV/0!</v>
      </c>
      <c r="Y55" s="848" t="e">
        <f>Y40/'Project Assumptions'!$I$10/SUM('Book Income Statement'!Z7:Z9)</f>
        <v>#DIV/0!</v>
      </c>
      <c r="Z55" s="848" t="e">
        <f>Z40/'Project Assumptions'!$I$10/SUM('Book Income Statement'!AA7:AA9)</f>
        <v>#DIV/0!</v>
      </c>
      <c r="AA55" s="849"/>
    </row>
    <row r="56" spans="1:27" s="34" customFormat="1" ht="12.6" customHeight="1">
      <c r="A56" s="420"/>
      <c r="B56" s="33"/>
      <c r="C56" s="848"/>
      <c r="D56" s="848"/>
      <c r="E56" s="848"/>
      <c r="F56" s="848"/>
      <c r="G56" s="848"/>
      <c r="H56" s="848"/>
      <c r="I56" s="848"/>
      <c r="J56" s="848"/>
      <c r="K56" s="848"/>
      <c r="L56" s="848"/>
      <c r="M56" s="848"/>
      <c r="N56" s="848"/>
      <c r="O56" s="848"/>
      <c r="P56" s="848"/>
      <c r="Q56" s="848"/>
      <c r="R56" s="848"/>
      <c r="S56" s="848"/>
      <c r="T56" s="848"/>
      <c r="U56" s="848"/>
      <c r="V56" s="848"/>
      <c r="W56" s="848"/>
      <c r="X56" s="848"/>
      <c r="Y56" s="848"/>
      <c r="Z56" s="848"/>
      <c r="AA56" s="849"/>
    </row>
    <row r="57" spans="1:27">
      <c r="A57" s="418" t="s">
        <v>499</v>
      </c>
      <c r="B57" s="263" t="s">
        <v>363</v>
      </c>
      <c r="C57" s="360"/>
      <c r="D57" s="360"/>
      <c r="E57" s="360"/>
      <c r="F57" s="360"/>
      <c r="G57" s="360"/>
      <c r="H57" s="360"/>
      <c r="I57" s="360"/>
      <c r="J57" s="360"/>
      <c r="K57" s="360"/>
      <c r="L57" s="360"/>
      <c r="M57" s="360"/>
      <c r="N57" s="360"/>
      <c r="O57" s="360"/>
      <c r="P57" s="360"/>
      <c r="Q57" s="360"/>
      <c r="R57" s="360"/>
      <c r="S57" s="360"/>
      <c r="T57" s="360"/>
      <c r="U57" s="360"/>
      <c r="V57" s="360"/>
      <c r="W57" s="360"/>
      <c r="X57" s="360"/>
      <c r="Y57" s="360"/>
      <c r="Z57" s="360"/>
      <c r="AA57" s="361"/>
    </row>
    <row r="58" spans="1:27" s="34" customFormat="1" ht="12.6" customHeight="1">
      <c r="A58" s="420" t="s">
        <v>152</v>
      </c>
      <c r="B58" s="840">
        <f>AVERAGE(C58:V58)</f>
        <v>1.1939277846301481</v>
      </c>
      <c r="C58" s="841">
        <f>IF(Operations!C3&gt;'Project Assumptions'!$I$15+1,0,C30*1000/(Operations!C30))</f>
        <v>0.88865734649122807</v>
      </c>
      <c r="D58" s="841">
        <f>IF(Operations!D3&gt;'Project Assumptions'!$I$15+1,0,D30*1000/(Operations!D30))</f>
        <v>0.91531706688596504</v>
      </c>
      <c r="E58" s="841">
        <f>IF(Operations!E3&gt;'Project Assumptions'!$I$15+1,0,E30*1000/(Operations!E30))</f>
        <v>0.94277657889254374</v>
      </c>
      <c r="F58" s="841">
        <f>IF(Operations!F3&gt;'Project Assumptions'!$I$15+1,0,F30*1000/(Operations!F30))</f>
        <v>0.97105987625932011</v>
      </c>
      <c r="G58" s="841">
        <f>IF(Operations!G3&gt;'Project Assumptions'!$I$15+1,0,G30*1000/(Operations!G30))</f>
        <v>1.0001916725470996</v>
      </c>
      <c r="H58" s="841">
        <f>IF(Operations!H3&gt;'Project Assumptions'!$I$15+1,0,H30*1000/(Operations!H30))</f>
        <v>1.0301974227235127</v>
      </c>
      <c r="I58" s="841">
        <f>IF(Operations!I3&gt;'Project Assumptions'!$I$15+1,0,I30*1000/(Operations!I30))</f>
        <v>1.0611033454052179</v>
      </c>
      <c r="J58" s="841">
        <f>IF(Operations!J3&gt;'Project Assumptions'!$I$15+1,0,J30*1000/(Operations!J30))</f>
        <v>1.0929364457673745</v>
      </c>
      <c r="K58" s="841">
        <f>IF(Operations!K3&gt;'Project Assumptions'!$I$15+1,0,K30*1000/(Operations!K30))</f>
        <v>1.1257245391403958</v>
      </c>
      <c r="L58" s="841">
        <f>IF(Operations!L3&gt;'Project Assumptions'!$I$15+1,0,L30*1000/(Operations!L30))</f>
        <v>1.1594962753146076</v>
      </c>
      <c r="M58" s="841">
        <f>IF(Operations!M3&gt;'Project Assumptions'!$I$15+1,0,M30*1000/(Operations!M30))</f>
        <v>1.194281163574046</v>
      </c>
      <c r="N58" s="841">
        <f>IF(Operations!N3&gt;'Project Assumptions'!$I$15+1,0,N30*1000/(Operations!N30))</f>
        <v>1.2301095984812671</v>
      </c>
      <c r="O58" s="841">
        <f>IF(Operations!O3&gt;'Project Assumptions'!$I$15+1,0,O30*1000/(Operations!O30))</f>
        <v>1.2670128864357051</v>
      </c>
      <c r="P58" s="841">
        <f>IF(Operations!P3&gt;'Project Assumptions'!$I$15+1,0,P30*1000/(Operations!P30))</f>
        <v>1.3050232730287765</v>
      </c>
      <c r="Q58" s="841">
        <f>IF(Operations!Q3&gt;'Project Assumptions'!$I$15+1,0,Q30*1000/(Operations!Q30))</f>
        <v>1.3441739712196399</v>
      </c>
      <c r="R58" s="841">
        <f>IF(Operations!R3&gt;'Project Assumptions'!$I$15+1,0,R30*1000/(Operations!R30))</f>
        <v>1.3844991903562287</v>
      </c>
      <c r="S58" s="841">
        <f>IF(Operations!S3&gt;'Project Assumptions'!$I$15+1,0,S30*1000/(Operations!S30))</f>
        <v>1.4260341660669158</v>
      </c>
      <c r="T58" s="841">
        <f>IF(Operations!T3&gt;'Project Assumptions'!$I$15+1,0,T30*1000/(Operations!T30))</f>
        <v>1.4688151910489229</v>
      </c>
      <c r="U58" s="841">
        <f>IF(Operations!U3&gt;'Project Assumptions'!$I$15+1,0,U30*1000/(Operations!U30))</f>
        <v>1.5128796467803904</v>
      </c>
      <c r="V58" s="841">
        <f>IF(Operations!V3&gt;'Project Assumptions'!$I$15+1,0,V30*1000/(Operations!V30))</f>
        <v>1.5582660361838023</v>
      </c>
      <c r="W58" s="841">
        <f>IF(Operations!W3&gt;'Project Assumptions'!$I$15+1,0,W30*1000/(Operations!W30))</f>
        <v>1.6050140172693164</v>
      </c>
      <c r="X58" s="841" t="e">
        <f>IF(Operations!X3&gt;'Project Assumptions'!$I$15+1,0,X30*1000/(Operations!X30))</f>
        <v>#DIV/0!</v>
      </c>
      <c r="Y58" s="841" t="e">
        <f>IF(Operations!Y3&gt;'Project Assumptions'!$I$15+1,0,Y30*1000/(Operations!Y30))</f>
        <v>#DIV/0!</v>
      </c>
      <c r="Z58" s="841" t="e">
        <f>IF(Operations!Z3&gt;'Project Assumptions'!$I$15+1,0,Z30*1000/(Operations!Z30))</f>
        <v>#DIV/0!</v>
      </c>
      <c r="AA58" s="842"/>
    </row>
    <row r="59" spans="1:27" s="34" customFormat="1" ht="12.6" customHeight="1">
      <c r="A59" s="420" t="s">
        <v>560</v>
      </c>
      <c r="B59" s="846">
        <f>AVERAGE(C59:V59)</f>
        <v>3.2090491577548859</v>
      </c>
      <c r="C59" s="841">
        <f>IF(Operations!C3&gt;'Project Assumptions'!$I$15+1,0,C31*1000/(Operations!C30))</f>
        <v>2.5397631578947366</v>
      </c>
      <c r="D59" s="841">
        <f>IF(Operations!D3&gt;'Project Assumptions'!$I$15+1,0,D31*1000/(Operations!D30))</f>
        <v>2.6159560526315788</v>
      </c>
      <c r="E59" s="841">
        <f>IF(Operations!E3&gt;'Project Assumptions'!$I$15+1,0,E31*1000/(Operations!E30))</f>
        <v>2.6944347342105264</v>
      </c>
      <c r="F59" s="841">
        <f>IF(Operations!F3&gt;'Project Assumptions'!$I$15+1,0,F31*1000/(Operations!F30))</f>
        <v>2.6481793816130921</v>
      </c>
      <c r="G59" s="841">
        <f>IF(Operations!G3&gt;'Project Assumptions'!$I$15+1,0,G31*1000/(Operations!G30))</f>
        <v>2.6632418488259861</v>
      </c>
      <c r="H59" s="841">
        <f>IF(Operations!H3&gt;'Project Assumptions'!$I$15+1,0,H31*1000/(Operations!H30))</f>
        <v>2.7431391042907656</v>
      </c>
      <c r="I59" s="841">
        <f>IF(Operations!I3&gt;'Project Assumptions'!$I$15+1,0,I31*1000/(Operations!I30))</f>
        <v>2.825433277419489</v>
      </c>
      <c r="J59" s="841">
        <f>IF(Operations!J3&gt;'Project Assumptions'!$I$15+1,0,J31*1000/(Operations!J30))</f>
        <v>2.9101962757420736</v>
      </c>
      <c r="K59" s="841">
        <f>IF(Operations!K3&gt;'Project Assumptions'!$I$15+1,0,K31*1000/(Operations!K30))</f>
        <v>2.9975021640143358</v>
      </c>
      <c r="L59" s="841">
        <f>IF(Operations!L3&gt;'Project Assumptions'!$I$15+1,0,L31*1000/(Operations!L30))</f>
        <v>3.0874272289347662</v>
      </c>
      <c r="M59" s="841">
        <f>IF(Operations!M3&gt;'Project Assumptions'!$I$15+1,0,M31*1000/(Operations!M30))</f>
        <v>3.1800500458028091</v>
      </c>
      <c r="N59" s="841">
        <f>IF(Operations!N3&gt;'Project Assumptions'!$I$15+1,0,N31*1000/(Operations!N30))</f>
        <v>3.275451547176893</v>
      </c>
      <c r="O59" s="841">
        <f>IF(Operations!O3&gt;'Project Assumptions'!$I$15+1,0,O31*1000/(Operations!O30))</f>
        <v>3.3737150935921991</v>
      </c>
      <c r="P59" s="841">
        <f>IF(Operations!P3&gt;'Project Assumptions'!$I$15+1,0,P31*1000/(Operations!P30))</f>
        <v>3.4749265463999652</v>
      </c>
      <c r="Q59" s="841">
        <f>IF(Operations!Q3&gt;'Project Assumptions'!$I$15+1,0,Q31*1000/(Operations!Q30))</f>
        <v>3.5791743427919647</v>
      </c>
      <c r="R59" s="841">
        <f>IF(Operations!R3&gt;'Project Assumptions'!$I$15+1,0,R31*1000/(Operations!R30))</f>
        <v>3.6865495730757232</v>
      </c>
      <c r="S59" s="841">
        <f>IF(Operations!S3&gt;'Project Assumptions'!$I$15+1,0,S31*1000/(Operations!S30))</f>
        <v>3.7971460602679952</v>
      </c>
      <c r="T59" s="841">
        <f>IF(Operations!T3&gt;'Project Assumptions'!$I$15+1,0,T31*1000/(Operations!T30))</f>
        <v>3.9110604420760344</v>
      </c>
      <c r="U59" s="841">
        <f>IF(Operations!U3&gt;'Project Assumptions'!$I$15+1,0,U31*1000/(Operations!U30))</f>
        <v>4.0283922553383151</v>
      </c>
      <c r="V59" s="841">
        <f>IF(Operations!V3&gt;'Project Assumptions'!$I$15+1,0,V31*1000/(Operations!V30))</f>
        <v>4.1492440229984648</v>
      </c>
      <c r="W59" s="841">
        <f>IF(Operations!W3&gt;'Project Assumptions'!$I$15+1,0,W31*1000/(Operations!W30))</f>
        <v>10.138647009738589</v>
      </c>
      <c r="X59" s="841" t="e">
        <f>IF(Operations!X3&gt;'Project Assumptions'!$I$15+1,0,X31*1000/(Operations!X30))</f>
        <v>#DIV/0!</v>
      </c>
      <c r="Y59" s="841" t="e">
        <f>IF(Operations!Y3&gt;'Project Assumptions'!$I$15+1,0,Y31*1000/(Operations!Y30))</f>
        <v>#DIV/0!</v>
      </c>
      <c r="Z59" s="841" t="e">
        <f>IF(Operations!Z3&gt;'Project Assumptions'!$I$15+1,0,Z31*1000/(Operations!Z30))</f>
        <v>#DIV/0!</v>
      </c>
      <c r="AA59" s="842"/>
    </row>
    <row r="60" spans="1:27" s="34" customFormat="1" ht="15" customHeight="1">
      <c r="A60" s="420" t="s">
        <v>151</v>
      </c>
      <c r="B60" s="843">
        <f>AVERAGE(C60:V60)</f>
        <v>4.7910866582304283</v>
      </c>
      <c r="C60" s="844">
        <f>IF(Operations!C3&gt;'Project Assumptions'!$I$15+1,0,C32*1000/Operations!C30)</f>
        <v>1.9350692492070358</v>
      </c>
      <c r="D60" s="844">
        <f>IF(Operations!D3&gt;'Project Assumptions'!$I$15+1,0,D32*1000/Operations!D30)</f>
        <v>3.34989153339935</v>
      </c>
      <c r="E60" s="844">
        <f>IF(Operations!E3&gt;'Project Assumptions'!$I$15+1,0,E32*1000/Operations!E30)</f>
        <v>3.4503882794013303</v>
      </c>
      <c r="F60" s="844">
        <f>IF(Operations!F3&gt;'Project Assumptions'!$I$15+1,0,F32*1000/Operations!F30)</f>
        <v>3.8093601195411879</v>
      </c>
      <c r="G60" s="844">
        <f>IF(Operations!G3&gt;'Project Assumptions'!$I$15+1,0,G32*1000/Operations!G30)</f>
        <v>4.1314438841020094</v>
      </c>
      <c r="H60" s="844">
        <f>IF(Operations!H3&gt;'Project Assumptions'!$I$15+1,0,H32*1000/Operations!H30)</f>
        <v>4.255387200625071</v>
      </c>
      <c r="I60" s="844">
        <f>IF(Operations!I3&gt;'Project Assumptions'!$I$15+1,0,I32*1000/Operations!I30)</f>
        <v>4.3830488166438224</v>
      </c>
      <c r="J60" s="844">
        <f>IF(Operations!J3&gt;'Project Assumptions'!$I$15+1,0,J32*1000/Operations!J30)</f>
        <v>4.5145402811431374</v>
      </c>
      <c r="K60" s="844">
        <f>IF(Operations!K3&gt;'Project Assumptions'!$I$15+1,0,K32*1000/Operations!K30)</f>
        <v>4.6499764895774307</v>
      </c>
      <c r="L60" s="844">
        <f>IF(Operations!L3&gt;'Project Assumptions'!$I$15+1,0,L32*1000/Operations!L30)</f>
        <v>4.789475784264754</v>
      </c>
      <c r="M60" s="844">
        <f>IF(Operations!M3&gt;'Project Assumptions'!$I$15+1,0,M32*1000/Operations!M30)</f>
        <v>4.9331600577926968</v>
      </c>
      <c r="N60" s="844">
        <f>IF(Operations!N3&gt;'Project Assumptions'!$I$15+1,0,N32*1000/Operations!N30)</f>
        <v>5.0811548595264773</v>
      </c>
      <c r="O60" s="844">
        <f>IF(Operations!O3&gt;'Project Assumptions'!$I$15+1,0,O32*1000/Operations!O30)</f>
        <v>5.2335895053122714</v>
      </c>
      <c r="P60" s="844">
        <f>IF(Operations!P3&gt;'Project Assumptions'!$I$15+1,0,P32*1000/Operations!P30)</f>
        <v>5.390597190471639</v>
      </c>
      <c r="Q60" s="844">
        <f>IF(Operations!Q3&gt;'Project Assumptions'!$I$15+1,0,Q32*1000/Operations!Q30)</f>
        <v>5.5523151061857883</v>
      </c>
      <c r="R60" s="844">
        <f>IF(Operations!R3&gt;'Project Assumptions'!$I$15+1,0,R32*1000/Operations!R30)</f>
        <v>5.7188845593713626</v>
      </c>
      <c r="S60" s="844">
        <f>IF(Operations!S3&gt;'Project Assumptions'!$I$15+1,0,S32*1000/Operations!S30)</f>
        <v>5.8904510961525034</v>
      </c>
      <c r="T60" s="844">
        <f>IF(Operations!T3&gt;'Project Assumptions'!$I$15+1,0,T32*1000/Operations!T30)</f>
        <v>6.0671646290370775</v>
      </c>
      <c r="U60" s="844">
        <f>IF(Operations!U3&gt;'Project Assumptions'!$I$15+1,0,U32*1000/Operations!U30)</f>
        <v>6.2491795679081905</v>
      </c>
      <c r="V60" s="844">
        <f>IF(Operations!V3&gt;'Project Assumptions'!$I$15+1,0,V32*1000/Operations!V30)</f>
        <v>6.4366549549454346</v>
      </c>
      <c r="W60" s="844">
        <f>IF(Operations!W3&gt;'Project Assumptions'!$I$15+1,0,W32*1000/Operations!W30)</f>
        <v>6.765009673691063</v>
      </c>
      <c r="X60" s="844" t="e">
        <f>IF(Operations!X3&gt;'Project Assumptions'!$I$15+1,0,X32*1000/Operations!X30)</f>
        <v>#DIV/0!</v>
      </c>
      <c r="Y60" s="844" t="e">
        <f>IF(Operations!Y3&gt;'Project Assumptions'!$I$15+1,0,Y32*1000/Operations!Y30)</f>
        <v>#DIV/0!</v>
      </c>
      <c r="Z60" s="844" t="e">
        <f>IF(Operations!Z3&gt;'Project Assumptions'!$I$15+1,0,Z32*1000/Operations!Z30)</f>
        <v>#DIV/0!</v>
      </c>
      <c r="AA60" s="845"/>
    </row>
    <row r="61" spans="1:27" s="34" customFormat="1" ht="12.6" customHeight="1">
      <c r="A61" s="452" t="s">
        <v>150</v>
      </c>
      <c r="B61" s="851">
        <f>SUM(B58:B60)</f>
        <v>9.1940636006154612</v>
      </c>
      <c r="C61" s="852">
        <f>IF(Operations!C3&gt;'Project Assumptions'!$I$15+1,0,SUM(C58:C60))</f>
        <v>5.3634897535930008</v>
      </c>
      <c r="D61" s="853">
        <f>IF(Operations!D3&gt;'Project Assumptions'!$I$15+1,0,SUM(D58:D60))</f>
        <v>6.8811646529168939</v>
      </c>
      <c r="E61" s="853">
        <f>IF(Operations!E3&gt;'Project Assumptions'!$I$15+1,0,SUM(E58:E60))</f>
        <v>7.0875995925044002</v>
      </c>
      <c r="F61" s="853">
        <f>IF(Operations!F3&gt;'Project Assumptions'!$I$15+1,0,SUM(F58:F60))</f>
        <v>7.4285993774136001</v>
      </c>
      <c r="G61" s="853">
        <f>IF(Operations!G3&gt;'Project Assumptions'!$I$15+1,0,SUM(G58:G60))</f>
        <v>7.7948774054750949</v>
      </c>
      <c r="H61" s="853">
        <f>IF(Operations!H3&gt;'Project Assumptions'!$I$15+1,0,SUM(H58:H60))</f>
        <v>8.0287237276393491</v>
      </c>
      <c r="I61" s="853">
        <f>IF(Operations!I3&gt;'Project Assumptions'!$I$15+1,0,SUM(I58:I60))</f>
        <v>8.2695854394685284</v>
      </c>
      <c r="J61" s="853">
        <f>IF(Operations!J3&gt;'Project Assumptions'!$I$15+1,0,SUM(J58:J60))</f>
        <v>8.517673002652586</v>
      </c>
      <c r="K61" s="853">
        <f>IF(Operations!K3&gt;'Project Assumptions'!$I$15+1,0,SUM(K58:K60))</f>
        <v>8.7732031927321614</v>
      </c>
      <c r="L61" s="853">
        <f>IF(Operations!L3&gt;'Project Assumptions'!$I$15+1,0,SUM(L58:L60))</f>
        <v>9.0363992885141275</v>
      </c>
      <c r="M61" s="853">
        <f>IF(Operations!M3&gt;'Project Assumptions'!$I$15+1,0,SUM(M58:M60))</f>
        <v>9.3074912671695529</v>
      </c>
      <c r="N61" s="853">
        <f>IF(Operations!N3&gt;'Project Assumptions'!$I$15+1,0,SUM(N58:N60))</f>
        <v>9.5867160051846376</v>
      </c>
      <c r="O61" s="853">
        <f>IF(Operations!O3&gt;'Project Assumptions'!$I$15+1,0,SUM(O58:O60))</f>
        <v>9.8743174853401747</v>
      </c>
      <c r="P61" s="853">
        <f>IF(Operations!P3&gt;'Project Assumptions'!$I$15+1,0,SUM(P58:P60))</f>
        <v>10.170547009900382</v>
      </c>
      <c r="Q61" s="853">
        <f>IF(Operations!Q3&gt;'Project Assumptions'!$I$15+1,0,SUM(Q58:Q60))</f>
        <v>10.475663420197392</v>
      </c>
      <c r="R61" s="853">
        <f>IF(Operations!R3&gt;'Project Assumptions'!$I$15+1,0,SUM(R58:R60))</f>
        <v>10.789933322803314</v>
      </c>
      <c r="S61" s="853">
        <f>IF(Operations!S3&gt;'Project Assumptions'!$I$15+1,0,SUM(S58:S60))</f>
        <v>11.113631322487414</v>
      </c>
      <c r="T61" s="853">
        <f>IF(Operations!T3&gt;'Project Assumptions'!$I$15+1,0,SUM(T58:T60))</f>
        <v>11.447040262162034</v>
      </c>
      <c r="U61" s="853">
        <f>IF(Operations!U3&gt;'Project Assumptions'!$I$15+1,0,SUM(U58:U60))</f>
        <v>11.790451470026895</v>
      </c>
      <c r="V61" s="853">
        <f>IF(Operations!V3&gt;'Project Assumptions'!$I$15+1,0,SUM(V58:V60))</f>
        <v>12.144165014127701</v>
      </c>
      <c r="W61" s="853">
        <f>IF(Operations!W3&gt;'Project Assumptions'!$I$15+1,0,SUM(W58:W60))</f>
        <v>18.508670700698971</v>
      </c>
      <c r="X61" s="853" t="e">
        <f>IF(Operations!X3&gt;'Project Assumptions'!$I$15+1,0,SUM(X58:X60))</f>
        <v>#DIV/0!</v>
      </c>
      <c r="Y61" s="853" t="e">
        <f>IF(Operations!Y3&gt;'Project Assumptions'!$I$15+1,0,SUM(Y58:Y60))</f>
        <v>#DIV/0!</v>
      </c>
      <c r="Z61" s="853" t="e">
        <f>IF(Operations!Z3&gt;'Project Assumptions'!$I$15+1,0,SUM(Z58:Z60))</f>
        <v>#DIV/0!</v>
      </c>
      <c r="AA61" s="854"/>
    </row>
    <row r="62" spans="1:27" s="34" customFormat="1" ht="12.6" customHeight="1">
      <c r="C62" s="855"/>
      <c r="D62" s="856"/>
      <c r="E62" s="856"/>
      <c r="F62" s="856"/>
      <c r="G62" s="856"/>
      <c r="H62" s="856"/>
      <c r="I62" s="856"/>
      <c r="J62" s="856"/>
      <c r="K62" s="856"/>
      <c r="L62" s="856"/>
      <c r="M62" s="856"/>
      <c r="N62" s="856"/>
      <c r="O62" s="856"/>
      <c r="P62" s="856"/>
      <c r="Q62" s="856"/>
      <c r="R62" s="856"/>
      <c r="S62" s="856"/>
      <c r="T62" s="856"/>
      <c r="U62" s="856"/>
      <c r="V62" s="856"/>
      <c r="W62" s="856"/>
      <c r="X62" s="856"/>
      <c r="Y62" s="856"/>
      <c r="Z62" s="856"/>
      <c r="AA62" s="856"/>
    </row>
    <row r="63" spans="1:27" s="34" customFormat="1" ht="12.6" customHeight="1">
      <c r="C63" s="855"/>
      <c r="D63" s="856"/>
      <c r="E63" s="856"/>
      <c r="F63" s="856"/>
      <c r="G63" s="856"/>
      <c r="H63" s="856"/>
      <c r="I63" s="856"/>
      <c r="J63" s="856"/>
      <c r="K63" s="856"/>
      <c r="L63" s="856"/>
      <c r="M63" s="856"/>
      <c r="N63" s="856"/>
      <c r="O63" s="856"/>
      <c r="P63" s="856"/>
      <c r="Q63" s="856"/>
      <c r="R63" s="856"/>
      <c r="S63" s="856"/>
      <c r="T63" s="856"/>
      <c r="U63" s="856"/>
      <c r="V63" s="856"/>
      <c r="W63" s="856"/>
      <c r="X63" s="856"/>
      <c r="Y63" s="856"/>
      <c r="Z63" s="856"/>
      <c r="AA63" s="856"/>
    </row>
    <row r="64" spans="1:27" ht="12.6" customHeight="1">
      <c r="A64" s="675" t="s">
        <v>272</v>
      </c>
      <c r="B64" s="835" t="s">
        <v>363</v>
      </c>
      <c r="C64" s="342"/>
      <c r="D64" s="342"/>
      <c r="E64" s="342"/>
      <c r="F64" s="342"/>
      <c r="G64" s="342"/>
      <c r="H64" s="342"/>
      <c r="I64" s="342"/>
      <c r="J64" s="342"/>
      <c r="K64" s="342"/>
      <c r="L64" s="342"/>
      <c r="M64" s="342"/>
      <c r="N64" s="342"/>
      <c r="O64" s="342"/>
      <c r="P64" s="342"/>
      <c r="Q64" s="342"/>
      <c r="R64" s="342"/>
      <c r="S64" s="342"/>
      <c r="T64" s="342"/>
      <c r="U64" s="342"/>
      <c r="V64" s="342"/>
      <c r="W64" s="342"/>
      <c r="X64" s="342"/>
      <c r="Y64" s="342"/>
      <c r="Z64" s="342"/>
      <c r="AA64" s="453"/>
    </row>
    <row r="65" spans="1:27" ht="12.6" customHeight="1">
      <c r="A65" s="456" t="s">
        <v>274</v>
      </c>
      <c r="B65" s="857">
        <f>AVERAGE(C65:V65)</f>
        <v>6.8072016422290416</v>
      </c>
      <c r="C65" s="688">
        <f>C70*(1+'Project Assumptions'!$I$31)^('PPA Assumptions &amp;Summary'!C4-1998)/12</f>
        <v>5.8349499999999992</v>
      </c>
      <c r="D65" s="688">
        <f>D70*(1+'Project Assumptions'!$I$31)^('PPA Assumptions &amp;Summary'!D4-1998)/12</f>
        <v>5.9189379166666667</v>
      </c>
      <c r="E65" s="688">
        <f>E70*(1+'Project Assumptions'!$I$31)^('PPA Assumptions &amp;Summary'!E4-1998)/12</f>
        <v>6.0965060541666665</v>
      </c>
      <c r="F65" s="688">
        <f>F70*(1+'Project Assumptions'!$I$31)^('PPA Assumptions &amp;Summary'!F4-1998)/12</f>
        <v>6.2794012357916662</v>
      </c>
      <c r="G65" s="688">
        <f>G70*(1+'Project Assumptions'!$I$31)^('PPA Assumptions &amp;Summary'!G4-1998)/12</f>
        <v>6.3682789148213326</v>
      </c>
      <c r="H65" s="688">
        <f>H70*(1+'Project Assumptions'!$I$31)^('PPA Assumptions &amp;Summary'!H4-1998)/12</f>
        <v>6.5593272822659729</v>
      </c>
      <c r="I65" s="688">
        <f>I70*(1+'Project Assumptions'!$I$31)^('PPA Assumptions &amp;Summary'!I4-1998)/12</f>
        <v>6.5449787538360154</v>
      </c>
      <c r="J65" s="688">
        <f>J70*(1+'Project Assumptions'!$I$31)^('PPA Assumptions &amp;Summary'!J4-1998)/12</f>
        <v>6.6325970177986591</v>
      </c>
      <c r="K65" s="688">
        <f>K70*(1+'Project Assumptions'!$I$31)^('PPA Assumptions &amp;Summary'!K4-1998)/12</f>
        <v>6.7195818967206087</v>
      </c>
      <c r="L65" s="688">
        <f>L70*(1+'Project Assumptions'!$I$31)^('PPA Assumptions &amp;Summary'!L4-1998)/12</f>
        <v>6.8058165310618568</v>
      </c>
      <c r="M65" s="688">
        <f>M70*(1+'Project Assumptions'!$I$31)^('PPA Assumptions &amp;Summary'!M4-1998)/12</f>
        <v>6.8911776197565295</v>
      </c>
      <c r="N65" s="688">
        <f>N70*(1+'Project Assumptions'!$I$31)^('PPA Assumptions &amp;Summary'!N4-1998)/12</f>
        <v>6.9755351388949292</v>
      </c>
      <c r="O65" s="688">
        <f>O70*(1+'Project Assumptions'!$I$31)^('PPA Assumptions &amp;Summary'!O4-1998)/12</f>
        <v>7.0587520493238509</v>
      </c>
      <c r="P65" s="688">
        <f>P70*(1+'Project Assumptions'!$I$31)^('PPA Assumptions &amp;Summary'!P4-1998)/12</f>
        <v>7.1406839927535044</v>
      </c>
      <c r="Q65" s="688">
        <f>Q70*(1+'Project Assumptions'!$I$31)^('PPA Assumptions &amp;Summary'!Q4-1998)/12</f>
        <v>7.2211789759445422</v>
      </c>
      <c r="R65" s="688">
        <f>R70*(1+'Project Assumptions'!$I$31)^('PPA Assumptions &amp;Summary'!R4-1998)/12</f>
        <v>7.3000770425335659</v>
      </c>
      <c r="S65" s="688">
        <f>S70*(1+'Project Assumptions'!$I$31)^('PPA Assumptions &amp;Summary'!S4-1998)/12</f>
        <v>7.3772099320395803</v>
      </c>
      <c r="T65" s="688">
        <f>T70*(1+'Project Assumptions'!$I$31)^('PPA Assumptions &amp;Summary'!T4-1998)/12</f>
        <v>7.4524007255776761</v>
      </c>
      <c r="U65" s="688">
        <f>U70*(1+'Project Assumptions'!$I$31)^('PPA Assumptions &amp;Summary'!U4-1998)/12</f>
        <v>7.5254634777892226</v>
      </c>
      <c r="V65" s="688">
        <f>V70*(1+'Project Assumptions'!$I$31)^('PPA Assumptions &amp;Summary'!V4-1998)/12</f>
        <v>7.4411782868379817</v>
      </c>
      <c r="W65" s="688">
        <f>W70*(1+'Project Assumptions'!$I$31)^('PPA Assumptions &amp;Summary'!W4-1998)/12</f>
        <v>7.5047383513713903</v>
      </c>
      <c r="X65" s="688">
        <f>X70*(1+'Project Assumptions'!$I$31)^('PPA Assumptions &amp;Summary'!X4-1998)/12</f>
        <v>6.0835804205477571</v>
      </c>
      <c r="Y65" s="58"/>
      <c r="Z65" s="58"/>
      <c r="AA65" s="458"/>
    </row>
    <row r="66" spans="1:27" ht="12.6" customHeight="1">
      <c r="A66" s="456" t="s">
        <v>275</v>
      </c>
      <c r="B66" s="858">
        <f>AVERAGE(C66:V66)</f>
        <v>5.4442757962888928</v>
      </c>
      <c r="C66" s="688">
        <f>C71*(1+'Project Assumptions'!$I$31)^('PPA Assumptions &amp;Summary'!C4-1998)/12</f>
        <v>4.7740499999999999</v>
      </c>
      <c r="D66" s="688">
        <f>D71*(1+'Project Assumptions'!$I$31)^('PPA Assumptions &amp;Summary'!D4-1998)/12</f>
        <v>4.9172715</v>
      </c>
      <c r="E66" s="688">
        <f>E71*(1+'Project Assumptions'!$I$31)^('PPA Assumptions &amp;Summary'!E4-1998)/12</f>
        <v>5.0647896449999994</v>
      </c>
      <c r="F66" s="688">
        <f>F71*(1+'Project Assumptions'!$I$31)^('PPA Assumptions &amp;Summary'!F4-1998)/12</f>
        <v>5.1201271614916655</v>
      </c>
      <c r="G66" s="688">
        <f>G71*(1+'Project Assumptions'!$I$31)^('PPA Assumptions &amp;Summary'!G4-1998)/12</f>
        <v>5.2737309763364157</v>
      </c>
      <c r="H66" s="688">
        <f>H71*(1+'Project Assumptions'!$I$31)^('PPA Assumptions &amp;Summary'!H4-1998)/12</f>
        <v>5.3294534168411039</v>
      </c>
      <c r="I66" s="688">
        <f>I71*(1+'Project Assumptions'!$I$31)^('PPA Assumptions &amp;Summary'!I4-1998)/12</f>
        <v>5.3837728458973677</v>
      </c>
      <c r="J66" s="688">
        <f>J71*(1+'Project Assumptions'!$I$31)^('PPA Assumptions &amp;Summary'!J4-1998)/12</f>
        <v>5.4365549326218519</v>
      </c>
      <c r="K66" s="688">
        <f>K71*(1+'Project Assumptions'!$I$31)^('PPA Assumptions &amp;Summary'!K4-1998)/12</f>
        <v>5.4876585489884979</v>
      </c>
      <c r="L66" s="688">
        <f>L71*(1+'Project Assumptions'!$I$31)^('PPA Assumptions &amp;Summary'!L4-1998)/12</f>
        <v>5.5369354828977819</v>
      </c>
      <c r="M66" s="688">
        <f>M71*(1+'Project Assumptions'!$I$31)^('PPA Assumptions &amp;Summary'!M4-1998)/12</f>
        <v>5.5842301401475325</v>
      </c>
      <c r="N66" s="688">
        <f>N71*(1+'Project Assumptions'!$I$31)^('PPA Assumptions &amp;Summary'!N4-1998)/12</f>
        <v>5.6293792348976615</v>
      </c>
      <c r="O66" s="688">
        <f>O71*(1+'Project Assumptions'!$I$31)^('PPA Assumptions &amp;Summary'!O4-1998)/12</f>
        <v>5.6722114682066662</v>
      </c>
      <c r="P66" s="688">
        <f>P71*(1+'Project Assumptions'!$I$31)^('PPA Assumptions &amp;Summary'!P4-1998)/12</f>
        <v>5.5827165761527384</v>
      </c>
      <c r="Q66" s="688">
        <f>Q71*(1+'Project Assumptions'!$I$31)^('PPA Assumptions &amp;Summary'!Q4-1998)/12</f>
        <v>5.6164725368457553</v>
      </c>
      <c r="R66" s="688">
        <f>R71*(1+'Project Assumptions'!$I$31)^('PPA Assumptions &amp;Summary'!R4-1998)/12</f>
        <v>5.647229410261815</v>
      </c>
      <c r="S66" s="688">
        <f>S71*(1+'Project Assumptions'!$I$31)^('PPA Assumptions &amp;Summary'!S4-1998)/12</f>
        <v>5.6747768707996782</v>
      </c>
      <c r="T66" s="688">
        <f>T71*(1+'Project Assumptions'!$I$31)^('PPA Assumptions &amp;Summary'!T4-1998)/12</f>
        <v>5.6988946725005754</v>
      </c>
      <c r="U66" s="688">
        <f>U71*(1+'Project Assumptions'!$I$31)^('PPA Assumptions &amp;Summary'!U4-1998)/12</f>
        <v>5.7193522431198085</v>
      </c>
      <c r="V66" s="688">
        <f>V71*(1+'Project Assumptions'!$I$31)^('PPA Assumptions &amp;Summary'!V4-1998)/12</f>
        <v>5.7359082627709439</v>
      </c>
      <c r="W66" s="688">
        <f>W71*(1+'Project Assumptions'!$I$31)^('PPA Assumptions &amp;Summary'!W4-1998)/12</f>
        <v>5.7483102265823414</v>
      </c>
      <c r="X66" s="688">
        <f>X71*(1+'Project Assumptions'!$I$31)^('PPA Assumptions &amp;Summary'!X4-1998)/12</f>
        <v>0</v>
      </c>
      <c r="Y66" s="58"/>
      <c r="Z66" s="58"/>
      <c r="AA66" s="458"/>
    </row>
    <row r="67" spans="1:27" ht="12.6" customHeight="1">
      <c r="A67" s="456" t="s">
        <v>273</v>
      </c>
      <c r="B67" s="858">
        <f>AVERAGE(C67:V67)</f>
        <v>6.1052728001896934</v>
      </c>
      <c r="C67" s="688">
        <f>AVERAGE(C65:C66)</f>
        <v>5.3044999999999991</v>
      </c>
      <c r="D67" s="688">
        <f>AVERAGE(D65:D66)</f>
        <v>5.4181047083333329</v>
      </c>
      <c r="E67" s="688">
        <f t="shared" ref="E67:V67" si="17">AVERAGE(E65,D66)</f>
        <v>5.5068887770833328</v>
      </c>
      <c r="F67" s="688">
        <f t="shared" si="17"/>
        <v>5.6720954403958324</v>
      </c>
      <c r="G67" s="688">
        <f t="shared" si="17"/>
        <v>5.744203038156499</v>
      </c>
      <c r="H67" s="688">
        <f t="shared" si="17"/>
        <v>5.9165291293011943</v>
      </c>
      <c r="I67" s="688">
        <f t="shared" si="17"/>
        <v>5.9372160853385596</v>
      </c>
      <c r="J67" s="688">
        <f t="shared" si="17"/>
        <v>6.0081849318480138</v>
      </c>
      <c r="K67" s="688">
        <f t="shared" si="17"/>
        <v>6.0780684146712307</v>
      </c>
      <c r="L67" s="688">
        <f t="shared" si="17"/>
        <v>6.1467375400251774</v>
      </c>
      <c r="M67" s="688">
        <f t="shared" si="17"/>
        <v>6.2140565513271557</v>
      </c>
      <c r="N67" s="688">
        <f t="shared" si="17"/>
        <v>6.2798826395212313</v>
      </c>
      <c r="O67" s="688">
        <f t="shared" si="17"/>
        <v>6.3440656421107562</v>
      </c>
      <c r="P67" s="688">
        <f t="shared" si="17"/>
        <v>6.4064477304800853</v>
      </c>
      <c r="Q67" s="688">
        <f t="shared" si="17"/>
        <v>6.4019477760486403</v>
      </c>
      <c r="R67" s="688">
        <f t="shared" si="17"/>
        <v>6.4582747896896606</v>
      </c>
      <c r="S67" s="688">
        <f t="shared" si="17"/>
        <v>6.5122196711506977</v>
      </c>
      <c r="T67" s="688">
        <f t="shared" si="17"/>
        <v>6.5635887981886771</v>
      </c>
      <c r="U67" s="688">
        <f t="shared" si="17"/>
        <v>6.6121790751448994</v>
      </c>
      <c r="V67" s="688">
        <f t="shared" si="17"/>
        <v>6.5802652649788946</v>
      </c>
      <c r="W67" s="688"/>
      <c r="X67" s="58"/>
      <c r="Y67" s="58"/>
      <c r="Z67" s="58"/>
      <c r="AA67" s="458"/>
    </row>
    <row r="68" spans="1:27" ht="12.6" customHeight="1">
      <c r="A68" s="456" t="s">
        <v>278</v>
      </c>
      <c r="B68" s="859">
        <f>AVERAGE(C68:V68)</f>
        <v>5.7747742982392927</v>
      </c>
      <c r="C68" s="688">
        <f>C66+(C67-C66)*'Project Assumptions'!$C$74</f>
        <v>5.0392749999999999</v>
      </c>
      <c r="D68" s="688">
        <f>D66+(D67-D66)*'Project Assumptions'!$C$74</f>
        <v>5.1676881041666665</v>
      </c>
      <c r="E68" s="688">
        <f>E66+(E67-E66)*'Project Assumptions'!$C$74</f>
        <v>5.2858392110416661</v>
      </c>
      <c r="F68" s="688">
        <f>F66+(F67-F66)*'Project Assumptions'!$C$74</f>
        <v>5.3961113009437494</v>
      </c>
      <c r="G68" s="688">
        <f>G66+(G67-G66)*'Project Assumptions'!$C$74</f>
        <v>5.5089670072464578</v>
      </c>
      <c r="H68" s="688">
        <f>H66+(H67-H66)*'Project Assumptions'!$C$74</f>
        <v>5.6229912730711487</v>
      </c>
      <c r="I68" s="688">
        <f>I66+(I67-I66)*'Project Assumptions'!$C$74</f>
        <v>5.6604944656179637</v>
      </c>
      <c r="J68" s="688">
        <f>J66+(J67-J66)*'Project Assumptions'!$C$74</f>
        <v>5.7223699322349333</v>
      </c>
      <c r="K68" s="688">
        <f>K66+(K67-K66)*'Project Assumptions'!$C$74</f>
        <v>5.7828634818298639</v>
      </c>
      <c r="L68" s="688">
        <f>L66+(L67-L66)*'Project Assumptions'!$C$74</f>
        <v>5.8418365114614801</v>
      </c>
      <c r="M68" s="688">
        <f>M66+(M67-M66)*'Project Assumptions'!$C$74</f>
        <v>5.8991433457373441</v>
      </c>
      <c r="N68" s="688">
        <f>N66+(N67-N66)*'Project Assumptions'!$C$74</f>
        <v>5.9546309372094459</v>
      </c>
      <c r="O68" s="688">
        <f>O66+(O67-O66)*'Project Assumptions'!$C$74</f>
        <v>6.0081385551587108</v>
      </c>
      <c r="P68" s="688">
        <f>P66+(P67-P66)*'Project Assumptions'!$C$74</f>
        <v>5.9945821533164114</v>
      </c>
      <c r="Q68" s="688">
        <f>Q66+(Q67-Q66)*'Project Assumptions'!$C$74</f>
        <v>6.0092101564471978</v>
      </c>
      <c r="R68" s="688">
        <f>R66+(R67-R66)*'Project Assumptions'!$C$74</f>
        <v>6.0527520999757378</v>
      </c>
      <c r="S68" s="688">
        <f>S66+(S67-S66)*'Project Assumptions'!$C$74</f>
        <v>6.0934982709751875</v>
      </c>
      <c r="T68" s="688">
        <f>T66+(T67-T66)*'Project Assumptions'!$C$74</f>
        <v>6.1312417353446262</v>
      </c>
      <c r="U68" s="688">
        <f>U66+(U67-U66)*'Project Assumptions'!$C$74</f>
        <v>6.1657656591323544</v>
      </c>
      <c r="V68" s="688">
        <f>V66+(V67-V66)*'Project Assumptions'!$C$74</f>
        <v>6.1580867638749197</v>
      </c>
      <c r="W68" s="688"/>
      <c r="X68" s="58"/>
      <c r="Y68" s="58"/>
      <c r="Z68" s="58"/>
      <c r="AA68" s="458"/>
    </row>
    <row r="69" spans="1:27" s="34" customFormat="1" ht="12.6" customHeight="1">
      <c r="A69" s="420"/>
      <c r="B69" s="33"/>
      <c r="C69" s="688"/>
      <c r="D69" s="688"/>
      <c r="E69" s="688"/>
      <c r="F69" s="688"/>
      <c r="G69" s="688"/>
      <c r="H69" s="688"/>
      <c r="I69" s="688"/>
      <c r="J69" s="688"/>
      <c r="K69" s="688"/>
      <c r="L69" s="688"/>
      <c r="M69" s="688"/>
      <c r="N69" s="688"/>
      <c r="O69" s="688"/>
      <c r="P69" s="688"/>
      <c r="Q69" s="688"/>
      <c r="R69" s="688"/>
      <c r="S69" s="688"/>
      <c r="T69" s="688"/>
      <c r="U69" s="688"/>
      <c r="V69" s="688"/>
      <c r="W69" s="688"/>
      <c r="X69" s="688"/>
      <c r="Y69" s="688"/>
      <c r="Z69" s="688"/>
      <c r="AA69" s="824"/>
    </row>
    <row r="70" spans="1:27" ht="12.6" customHeight="1">
      <c r="A70" s="860" t="s">
        <v>623</v>
      </c>
      <c r="B70" s="33" t="s">
        <v>367</v>
      </c>
      <c r="C70" s="861">
        <v>66</v>
      </c>
      <c r="D70" s="861">
        <v>65</v>
      </c>
      <c r="E70" s="861">
        <v>65</v>
      </c>
      <c r="F70" s="861">
        <v>65</v>
      </c>
      <c r="G70" s="861">
        <v>64</v>
      </c>
      <c r="H70" s="861">
        <v>64</v>
      </c>
      <c r="I70" s="861">
        <v>62</v>
      </c>
      <c r="J70" s="861">
        <v>61</v>
      </c>
      <c r="K70" s="861">
        <v>60</v>
      </c>
      <c r="L70" s="861">
        <v>59</v>
      </c>
      <c r="M70" s="861">
        <v>58</v>
      </c>
      <c r="N70" s="861">
        <v>57</v>
      </c>
      <c r="O70" s="861">
        <v>56</v>
      </c>
      <c r="P70" s="861">
        <v>55</v>
      </c>
      <c r="Q70" s="861">
        <v>54</v>
      </c>
      <c r="R70" s="861">
        <v>53</v>
      </c>
      <c r="S70" s="861">
        <v>52</v>
      </c>
      <c r="T70" s="861">
        <v>51</v>
      </c>
      <c r="U70" s="861">
        <v>50</v>
      </c>
      <c r="V70" s="861">
        <v>48</v>
      </c>
      <c r="W70" s="861">
        <v>47</v>
      </c>
      <c r="X70" s="823">
        <v>36.99</v>
      </c>
      <c r="Y70" s="58"/>
      <c r="Z70" s="58"/>
      <c r="AA70" s="458"/>
    </row>
    <row r="71" spans="1:27" ht="12.6" customHeight="1">
      <c r="A71" s="860" t="s">
        <v>624</v>
      </c>
      <c r="B71" s="33"/>
      <c r="C71" s="861">
        <v>54</v>
      </c>
      <c r="D71" s="861">
        <v>54</v>
      </c>
      <c r="E71" s="861">
        <v>54</v>
      </c>
      <c r="F71" s="861">
        <v>53</v>
      </c>
      <c r="G71" s="861">
        <v>53</v>
      </c>
      <c r="H71" s="861">
        <v>52</v>
      </c>
      <c r="I71" s="861">
        <v>51</v>
      </c>
      <c r="J71" s="861">
        <v>50</v>
      </c>
      <c r="K71" s="861">
        <v>49</v>
      </c>
      <c r="L71" s="861">
        <v>48</v>
      </c>
      <c r="M71" s="861">
        <v>47</v>
      </c>
      <c r="N71" s="861">
        <v>46</v>
      </c>
      <c r="O71" s="861">
        <v>45</v>
      </c>
      <c r="P71" s="861">
        <v>43</v>
      </c>
      <c r="Q71" s="861">
        <v>42</v>
      </c>
      <c r="R71" s="861">
        <v>41</v>
      </c>
      <c r="S71" s="861">
        <v>40</v>
      </c>
      <c r="T71" s="861">
        <v>39</v>
      </c>
      <c r="U71" s="861">
        <v>38</v>
      </c>
      <c r="V71" s="861">
        <v>37</v>
      </c>
      <c r="W71" s="861">
        <v>36</v>
      </c>
      <c r="X71" s="823"/>
      <c r="Y71" s="58"/>
      <c r="Z71" s="58"/>
      <c r="AA71" s="458"/>
    </row>
    <row r="72" spans="1:27" s="353" customFormat="1" ht="12.6" customHeight="1">
      <c r="A72" s="359"/>
      <c r="B72" s="363"/>
      <c r="C72" s="862"/>
      <c r="D72" s="862"/>
      <c r="E72" s="862"/>
      <c r="F72" s="862"/>
      <c r="G72" s="862"/>
      <c r="H72" s="862"/>
      <c r="I72" s="862"/>
      <c r="J72" s="862"/>
      <c r="K72" s="862"/>
      <c r="L72" s="862"/>
      <c r="M72" s="862"/>
      <c r="N72" s="862"/>
      <c r="O72" s="862"/>
      <c r="P72" s="862"/>
      <c r="Q72" s="862"/>
      <c r="R72" s="862"/>
      <c r="S72" s="862"/>
      <c r="T72" s="862"/>
      <c r="U72" s="862"/>
      <c r="V72" s="862"/>
      <c r="W72" s="862"/>
      <c r="X72" s="862"/>
      <c r="Y72" s="862"/>
      <c r="Z72" s="862"/>
      <c r="AA72" s="863"/>
    </row>
    <row r="73" spans="1:27" ht="12.6" customHeight="1">
      <c r="A73" s="666" t="s">
        <v>329</v>
      </c>
      <c r="B73" s="33"/>
      <c r="C73" s="58"/>
      <c r="D73" s="58"/>
      <c r="E73" s="58"/>
      <c r="F73" s="58"/>
      <c r="G73" s="58"/>
      <c r="H73" s="58"/>
      <c r="I73" s="58"/>
      <c r="J73" s="58"/>
      <c r="K73" s="58"/>
      <c r="L73" s="58"/>
      <c r="M73" s="58"/>
      <c r="N73" s="58"/>
      <c r="O73" s="58"/>
      <c r="P73" s="58"/>
      <c r="Q73" s="58"/>
      <c r="R73" s="58"/>
      <c r="S73" s="58"/>
      <c r="T73" s="58"/>
      <c r="U73" s="58"/>
      <c r="V73" s="58"/>
      <c r="W73" s="58"/>
      <c r="X73" s="58"/>
      <c r="Y73" s="58"/>
      <c r="Z73" s="58"/>
      <c r="AA73" s="458"/>
    </row>
    <row r="74" spans="1:27" s="353" customFormat="1" ht="12.6" customHeight="1">
      <c r="A74" s="359" t="s">
        <v>330</v>
      </c>
      <c r="B74" s="737">
        <f>'Project Assumptions'!I31</f>
        <v>0.03</v>
      </c>
      <c r="C74" s="862">
        <f>C79*((1+$B$74)^3)</f>
        <v>43.435898250000001</v>
      </c>
      <c r="D74" s="862">
        <f>D79*((1+$B$74)^3)</f>
        <v>46.364406610000003</v>
      </c>
      <c r="E74" s="862">
        <f t="shared" ref="E74:V74" si="18">E79*((1+$B$74)^3)</f>
        <v>49.489605830000002</v>
      </c>
      <c r="F74" s="862">
        <f t="shared" si="18"/>
        <v>52.822423180000001</v>
      </c>
      <c r="G74" s="862">
        <f t="shared" si="18"/>
        <v>56.373785930000004</v>
      </c>
      <c r="H74" s="862">
        <f t="shared" si="18"/>
        <v>60.176475889999999</v>
      </c>
      <c r="I74" s="862">
        <f t="shared" si="18"/>
        <v>60.668203040000002</v>
      </c>
      <c r="J74" s="862">
        <f t="shared" si="18"/>
        <v>61.159930189999997</v>
      </c>
      <c r="K74" s="862">
        <f t="shared" si="18"/>
        <v>61.662584610000003</v>
      </c>
      <c r="L74" s="862">
        <f t="shared" si="18"/>
        <v>62.165239030000002</v>
      </c>
      <c r="M74" s="862">
        <f t="shared" si="18"/>
        <v>62.678820719999997</v>
      </c>
      <c r="N74" s="862">
        <f t="shared" si="18"/>
        <v>60.263894049999998</v>
      </c>
      <c r="O74" s="862">
        <f t="shared" si="18"/>
        <v>57.958240079999996</v>
      </c>
      <c r="P74" s="862">
        <f t="shared" si="18"/>
        <v>55.729077000000004</v>
      </c>
      <c r="Q74" s="862">
        <f t="shared" si="18"/>
        <v>53.587332079999996</v>
      </c>
      <c r="R74" s="862">
        <f t="shared" si="18"/>
        <v>51.533005319999994</v>
      </c>
      <c r="S74" s="862">
        <f t="shared" si="18"/>
        <v>52.232350599999997</v>
      </c>
      <c r="T74" s="862">
        <f t="shared" si="18"/>
        <v>52.931695879999999</v>
      </c>
      <c r="U74" s="862">
        <f t="shared" si="18"/>
        <v>53.652895700000002</v>
      </c>
      <c r="V74" s="862">
        <f t="shared" si="18"/>
        <v>53.652895700000002</v>
      </c>
      <c r="W74" s="862"/>
      <c r="X74" s="862"/>
      <c r="Y74" s="862"/>
      <c r="Z74" s="862"/>
      <c r="AA74" s="863"/>
    </row>
    <row r="75" spans="1:27">
      <c r="A75" s="359" t="s">
        <v>331</v>
      </c>
      <c r="B75" s="33"/>
      <c r="C75" s="862">
        <f>C80*((1+$B$74)^3)</f>
        <v>43.52331641</v>
      </c>
      <c r="D75" s="862">
        <f>D80*((1+$B$74)^3)</f>
        <v>46.255133909999998</v>
      </c>
      <c r="E75" s="862">
        <f t="shared" ref="E75:V75" si="19">E80*((1+$B$74)^3)</f>
        <v>49.150860459999997</v>
      </c>
      <c r="F75" s="862">
        <f t="shared" si="19"/>
        <v>52.232350599999997</v>
      </c>
      <c r="G75" s="862">
        <f t="shared" si="19"/>
        <v>55.5105316</v>
      </c>
      <c r="H75" s="862">
        <f t="shared" si="19"/>
        <v>58.985403459999993</v>
      </c>
      <c r="I75" s="862">
        <f t="shared" si="19"/>
        <v>59.378785180000001</v>
      </c>
      <c r="J75" s="862">
        <f t="shared" si="19"/>
        <v>59.772166900000002</v>
      </c>
      <c r="K75" s="862">
        <f t="shared" si="19"/>
        <v>60.176475889999999</v>
      </c>
      <c r="L75" s="862">
        <f t="shared" si="19"/>
        <v>60.580784879999996</v>
      </c>
      <c r="M75" s="862">
        <f t="shared" si="19"/>
        <v>60.98509387</v>
      </c>
      <c r="N75" s="862">
        <f t="shared" si="19"/>
        <v>57.870821920000004</v>
      </c>
      <c r="O75" s="862">
        <f t="shared" si="19"/>
        <v>54.909531749999999</v>
      </c>
      <c r="P75" s="862">
        <f t="shared" si="19"/>
        <v>52.101223359999999</v>
      </c>
      <c r="Q75" s="862">
        <f t="shared" si="19"/>
        <v>49.445896750000003</v>
      </c>
      <c r="R75" s="862">
        <f t="shared" si="19"/>
        <v>46.921697379999998</v>
      </c>
      <c r="S75" s="862">
        <f t="shared" si="19"/>
        <v>47.293224559999999</v>
      </c>
      <c r="T75" s="862">
        <f t="shared" si="19"/>
        <v>47.66475174</v>
      </c>
      <c r="U75" s="862">
        <f t="shared" si="19"/>
        <v>48.036278920000001</v>
      </c>
      <c r="V75" s="862">
        <f t="shared" si="19"/>
        <v>48.036278920000001</v>
      </c>
      <c r="W75" s="58"/>
      <c r="X75" s="58"/>
      <c r="Y75" s="58"/>
      <c r="Z75" s="58"/>
      <c r="AA75" s="458"/>
    </row>
    <row r="76" spans="1:27">
      <c r="A76" s="359" t="s">
        <v>332</v>
      </c>
      <c r="B76" s="33"/>
      <c r="C76" s="862">
        <v>0</v>
      </c>
      <c r="D76" s="862">
        <v>0</v>
      </c>
      <c r="E76" s="862">
        <v>0</v>
      </c>
      <c r="F76" s="862">
        <v>0</v>
      </c>
      <c r="G76" s="862">
        <v>0</v>
      </c>
      <c r="H76" s="862">
        <v>0</v>
      </c>
      <c r="I76" s="862">
        <v>0</v>
      </c>
      <c r="J76" s="862">
        <v>0</v>
      </c>
      <c r="K76" s="862">
        <v>0</v>
      </c>
      <c r="L76" s="862">
        <v>0</v>
      </c>
      <c r="M76" s="862">
        <v>0</v>
      </c>
      <c r="N76" s="862">
        <v>0</v>
      </c>
      <c r="O76" s="862">
        <v>0</v>
      </c>
      <c r="P76" s="862">
        <v>0</v>
      </c>
      <c r="Q76" s="862">
        <v>0</v>
      </c>
      <c r="R76" s="862">
        <v>0</v>
      </c>
      <c r="S76" s="862">
        <v>0</v>
      </c>
      <c r="T76" s="862">
        <v>0</v>
      </c>
      <c r="U76" s="862">
        <v>0</v>
      </c>
      <c r="V76" s="862">
        <v>0</v>
      </c>
      <c r="W76" s="58"/>
      <c r="X76" s="58"/>
      <c r="Y76" s="58"/>
      <c r="Z76" s="58"/>
      <c r="AA76" s="458"/>
    </row>
    <row r="77" spans="1:27">
      <c r="A77" s="359" t="s">
        <v>333</v>
      </c>
      <c r="B77" s="33"/>
      <c r="C77" s="862">
        <f>IF('Project Assumptions'!$C$76="yes",C26,C24)</f>
        <v>29.932500000000001</v>
      </c>
      <c r="D77" s="862">
        <f>IF('Project Assumptions'!$C$76="yes",D26,D24)</f>
        <v>29.932500000000001</v>
      </c>
      <c r="E77" s="862">
        <f>IF('Project Assumptions'!$C$76="yes",E26,E24)</f>
        <v>29.932500000000001</v>
      </c>
      <c r="F77" s="862">
        <f>IF('Project Assumptions'!$C$76="yes",F26,F24)</f>
        <v>29.932500000000001</v>
      </c>
      <c r="G77" s="862">
        <f>IF('Project Assumptions'!$C$76="yes",G26,G24)</f>
        <v>29.932500000000005</v>
      </c>
      <c r="H77" s="862">
        <f>IF('Project Assumptions'!$C$76="yes",H26,H24)</f>
        <v>29.932500000000005</v>
      </c>
      <c r="I77" s="862">
        <f>IF('Project Assumptions'!$C$76="yes",I26,I24)</f>
        <v>29.932500000000005</v>
      </c>
      <c r="J77" s="862">
        <f>IF('Project Assumptions'!$C$76="yes",J26,J24)</f>
        <v>29.932500000000005</v>
      </c>
      <c r="K77" s="862">
        <f>IF('Project Assumptions'!$C$76="yes",K26,K24)</f>
        <v>29.932500000000005</v>
      </c>
      <c r="L77" s="862">
        <f>IF('Project Assumptions'!$C$76="yes",L26,L24)</f>
        <v>29.932500000000005</v>
      </c>
      <c r="M77" s="862">
        <f>IF('Project Assumptions'!$C$76="yes",M26,M24)</f>
        <v>29.932500000000005</v>
      </c>
      <c r="N77" s="862">
        <f>IF('Project Assumptions'!$C$76="yes",N26,N24)</f>
        <v>29.932500000000005</v>
      </c>
      <c r="O77" s="862">
        <f>IF('Project Assumptions'!$C$76="yes",O26,O24)</f>
        <v>29.932500000000005</v>
      </c>
      <c r="P77" s="862">
        <f>IF('Project Assumptions'!$C$76="yes",P26,P24)</f>
        <v>29.932500000000005</v>
      </c>
      <c r="Q77" s="862">
        <f>IF('Project Assumptions'!$C$76="yes",Q26,Q24)</f>
        <v>29.932500000000005</v>
      </c>
      <c r="R77" s="862">
        <f>IF('Project Assumptions'!$C$76="yes",R26,R24)</f>
        <v>29.932500000000005</v>
      </c>
      <c r="S77" s="862">
        <f>IF('Project Assumptions'!$C$76="yes",S26,S24)</f>
        <v>29.932500000000005</v>
      </c>
      <c r="T77" s="862">
        <f>IF('Project Assumptions'!$C$76="yes",T26,T24)</f>
        <v>29.932500000000005</v>
      </c>
      <c r="U77" s="862">
        <f>IF('Project Assumptions'!$C$76="yes",U26,U24)</f>
        <v>29.932500000000005</v>
      </c>
      <c r="V77" s="862">
        <f>IF('Project Assumptions'!$C$76="yes",V26,V24)</f>
        <v>29.932500000000005</v>
      </c>
      <c r="W77" s="862"/>
      <c r="X77" s="58"/>
      <c r="Y77" s="58"/>
      <c r="Z77" s="58"/>
      <c r="AA77" s="458"/>
    </row>
    <row r="78" spans="1:27">
      <c r="A78" s="456"/>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458"/>
    </row>
    <row r="79" spans="1:27">
      <c r="A79" s="864" t="s">
        <v>625</v>
      </c>
      <c r="B79" s="33" t="s">
        <v>367</v>
      </c>
      <c r="C79" s="865">
        <v>39.75</v>
      </c>
      <c r="D79" s="865">
        <v>42.43</v>
      </c>
      <c r="E79" s="865">
        <v>45.29</v>
      </c>
      <c r="F79" s="865">
        <v>48.34</v>
      </c>
      <c r="G79" s="865">
        <v>51.59</v>
      </c>
      <c r="H79" s="865">
        <v>55.07</v>
      </c>
      <c r="I79" s="865">
        <v>55.52</v>
      </c>
      <c r="J79" s="865">
        <v>55.97</v>
      </c>
      <c r="K79" s="865">
        <v>56.43</v>
      </c>
      <c r="L79" s="865">
        <v>56.89</v>
      </c>
      <c r="M79" s="865">
        <v>57.36</v>
      </c>
      <c r="N79" s="865">
        <v>55.15</v>
      </c>
      <c r="O79" s="865">
        <v>53.04</v>
      </c>
      <c r="P79" s="865">
        <v>51</v>
      </c>
      <c r="Q79" s="865">
        <v>49.04</v>
      </c>
      <c r="R79" s="865">
        <v>47.16</v>
      </c>
      <c r="S79" s="865">
        <v>47.8</v>
      </c>
      <c r="T79" s="865">
        <v>48.44</v>
      </c>
      <c r="U79" s="865">
        <v>49.1</v>
      </c>
      <c r="V79" s="865">
        <v>49.1</v>
      </c>
      <c r="W79" s="58"/>
      <c r="X79" s="58"/>
      <c r="Y79" s="58"/>
      <c r="Z79" s="58"/>
      <c r="AA79" s="458"/>
    </row>
    <row r="80" spans="1:27">
      <c r="A80" s="866" t="s">
        <v>626</v>
      </c>
      <c r="B80" s="409" t="s">
        <v>367</v>
      </c>
      <c r="C80" s="867">
        <v>39.83</v>
      </c>
      <c r="D80" s="867">
        <v>42.33</v>
      </c>
      <c r="E80" s="867">
        <v>44.98</v>
      </c>
      <c r="F80" s="867">
        <v>47.8</v>
      </c>
      <c r="G80" s="867">
        <v>50.8</v>
      </c>
      <c r="H80" s="867">
        <v>53.98</v>
      </c>
      <c r="I80" s="867">
        <v>54.34</v>
      </c>
      <c r="J80" s="867">
        <v>54.7</v>
      </c>
      <c r="K80" s="867">
        <v>55.07</v>
      </c>
      <c r="L80" s="867">
        <v>55.44</v>
      </c>
      <c r="M80" s="867">
        <v>55.81</v>
      </c>
      <c r="N80" s="867">
        <v>52.96</v>
      </c>
      <c r="O80" s="867">
        <v>50.25</v>
      </c>
      <c r="P80" s="867">
        <v>47.68</v>
      </c>
      <c r="Q80" s="867">
        <v>45.25</v>
      </c>
      <c r="R80" s="867">
        <v>42.94</v>
      </c>
      <c r="S80" s="867">
        <v>43.28</v>
      </c>
      <c r="T80" s="867">
        <v>43.62</v>
      </c>
      <c r="U80" s="867">
        <v>43.96</v>
      </c>
      <c r="V80" s="867">
        <v>43.96</v>
      </c>
      <c r="W80" s="454"/>
      <c r="X80" s="454"/>
      <c r="Y80" s="454"/>
      <c r="Z80" s="454"/>
      <c r="AA80" s="674"/>
    </row>
    <row r="82" spans="1:27" ht="12.6" customHeight="1"/>
    <row r="84" spans="1:27" s="34" customFormat="1" ht="12.6" customHeight="1">
      <c r="B84" s="485"/>
      <c r="C84" s="688"/>
      <c r="D84" s="688"/>
      <c r="E84" s="688"/>
      <c r="F84" s="688"/>
      <c r="G84" s="688"/>
      <c r="H84" s="688"/>
      <c r="I84" s="688"/>
      <c r="J84" s="688"/>
      <c r="K84" s="688"/>
      <c r="L84" s="688"/>
      <c r="M84" s="688"/>
      <c r="N84" s="688"/>
      <c r="O84" s="688"/>
      <c r="P84" s="688"/>
      <c r="Q84" s="688"/>
      <c r="R84" s="688"/>
      <c r="S84" s="688"/>
      <c r="T84" s="688"/>
      <c r="U84" s="688"/>
      <c r="V84" s="688"/>
      <c r="W84" s="688"/>
      <c r="X84" s="688"/>
      <c r="Y84" s="688"/>
      <c r="Z84" s="688"/>
      <c r="AA84" s="688"/>
    </row>
    <row r="85" spans="1:27" s="34" customFormat="1" ht="12.6" customHeight="1">
      <c r="A85" s="29"/>
    </row>
  </sheetData>
  <customSheetViews>
    <customSheetView guid="{773475A7-2559-11D2-A5F6-0060080AEB13}"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9D7575BF-255B-11D2-8267-00A0D1027254}"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1"/>
  <sheetViews>
    <sheetView zoomScale="75" zoomScaleNormal="75" workbookViewId="0"/>
  </sheetViews>
  <sheetFormatPr defaultRowHeight="12.75"/>
  <cols>
    <col min="1" max="1" width="18.7109375" style="27" customWidth="1"/>
    <col min="2" max="2" width="15.85546875" style="27" customWidth="1"/>
    <col min="3" max="3" width="10.42578125" style="27" bestFit="1" customWidth="1"/>
    <col min="4" max="16384" width="9.140625" style="27"/>
  </cols>
  <sheetData>
    <row r="1" spans="1:228" ht="20.25">
      <c r="A1" s="486" t="str">
        <f>'Project Assumptions'!$A$2</f>
        <v>WILTON CENTER, Will County, IL</v>
      </c>
      <c r="B1" s="487"/>
      <c r="C1" s="487"/>
      <c r="D1" s="535"/>
    </row>
    <row r="2" spans="1:228">
      <c r="A2" s="490" t="s">
        <v>5</v>
      </c>
      <c r="B2" s="491"/>
      <c r="C2" s="491"/>
      <c r="D2" s="536"/>
    </row>
    <row r="3" spans="1:228"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AA3" s="35"/>
      <c r="AC3" s="38"/>
      <c r="AD3" s="27"/>
    </row>
    <row r="4" spans="1:228"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5">
        <f>'Book Income Statement'!X5</f>
        <v>2020</v>
      </c>
      <c r="X4" s="40"/>
      <c r="Y4" s="40"/>
      <c r="Z4" s="40"/>
      <c r="AA4" s="40"/>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228" s="33" customFormat="1" ht="15.75">
      <c r="A5" s="666" t="s">
        <v>645</v>
      </c>
      <c r="B5" s="263"/>
      <c r="C5" s="263"/>
      <c r="D5" s="263"/>
      <c r="E5" s="263"/>
      <c r="F5" s="263"/>
      <c r="G5" s="263"/>
      <c r="H5" s="263"/>
      <c r="I5" s="263"/>
      <c r="J5" s="263"/>
      <c r="K5" s="263"/>
      <c r="L5" s="263"/>
      <c r="M5" s="263"/>
      <c r="N5" s="263"/>
      <c r="O5" s="263"/>
      <c r="P5" s="263"/>
      <c r="Q5" s="263"/>
      <c r="R5" s="263"/>
      <c r="S5" s="263"/>
      <c r="T5" s="263"/>
      <c r="U5" s="263"/>
      <c r="V5" s="263"/>
      <c r="W5" s="777"/>
      <c r="X5" s="263"/>
      <c r="Y5" s="263"/>
      <c r="Z5" s="263"/>
      <c r="AA5" s="263"/>
    </row>
    <row r="6" spans="1:228" s="36" customFormat="1" ht="12.6" customHeight="1">
      <c r="A6" s="359" t="s">
        <v>97</v>
      </c>
      <c r="B6" s="346"/>
      <c r="C6" s="778">
        <v>0</v>
      </c>
      <c r="D6" s="778">
        <v>0</v>
      </c>
      <c r="E6" s="778">
        <v>0</v>
      </c>
      <c r="F6" s="778">
        <v>0</v>
      </c>
      <c r="G6" s="778">
        <v>0</v>
      </c>
      <c r="H6" s="778">
        <v>0</v>
      </c>
      <c r="I6" s="778">
        <v>0</v>
      </c>
      <c r="J6" s="778">
        <v>0</v>
      </c>
      <c r="K6" s="778">
        <v>0</v>
      </c>
      <c r="L6" s="778">
        <v>0</v>
      </c>
      <c r="M6" s="778">
        <v>0</v>
      </c>
      <c r="N6" s="778">
        <v>0</v>
      </c>
      <c r="O6" s="778">
        <v>0</v>
      </c>
      <c r="P6" s="778">
        <v>0</v>
      </c>
      <c r="Q6" s="778">
        <v>0</v>
      </c>
      <c r="R6" s="778">
        <v>0</v>
      </c>
      <c r="S6" s="778">
        <v>0</v>
      </c>
      <c r="T6" s="778">
        <v>0</v>
      </c>
      <c r="U6" s="778">
        <v>0</v>
      </c>
      <c r="V6" s="778">
        <v>0</v>
      </c>
      <c r="W6" s="779">
        <v>0</v>
      </c>
      <c r="X6" s="780"/>
      <c r="Y6" s="780"/>
      <c r="Z6" s="780"/>
      <c r="AA6" s="780"/>
    </row>
    <row r="7" spans="1:228" s="36" customFormat="1" ht="12.6" customHeight="1">
      <c r="A7" s="359" t="s">
        <v>98</v>
      </c>
      <c r="B7" s="346"/>
      <c r="C7" s="778">
        <v>0</v>
      </c>
      <c r="D7" s="778">
        <v>0</v>
      </c>
      <c r="E7" s="778">
        <v>0</v>
      </c>
      <c r="F7" s="778">
        <v>0</v>
      </c>
      <c r="G7" s="778">
        <v>0</v>
      </c>
      <c r="H7" s="778">
        <v>0</v>
      </c>
      <c r="I7" s="778">
        <v>0</v>
      </c>
      <c r="J7" s="778">
        <v>0</v>
      </c>
      <c r="K7" s="778">
        <v>0</v>
      </c>
      <c r="L7" s="778">
        <v>0</v>
      </c>
      <c r="M7" s="778">
        <v>0</v>
      </c>
      <c r="N7" s="778">
        <v>0</v>
      </c>
      <c r="O7" s="778">
        <v>0</v>
      </c>
      <c r="P7" s="778">
        <v>0</v>
      </c>
      <c r="Q7" s="778">
        <v>0</v>
      </c>
      <c r="R7" s="778">
        <v>0</v>
      </c>
      <c r="S7" s="778">
        <v>0</v>
      </c>
      <c r="T7" s="778">
        <v>0</v>
      </c>
      <c r="U7" s="778">
        <v>0</v>
      </c>
      <c r="V7" s="778">
        <v>0</v>
      </c>
      <c r="W7" s="779">
        <v>0</v>
      </c>
      <c r="X7" s="780"/>
      <c r="Y7" s="780"/>
      <c r="Z7" s="780"/>
      <c r="AA7" s="780"/>
    </row>
    <row r="8" spans="1:228" s="36" customFormat="1" ht="12.6" customHeight="1">
      <c r="A8" s="359" t="s">
        <v>88</v>
      </c>
      <c r="B8" s="346"/>
      <c r="C8" s="363">
        <f>'Project Assumptions'!$I$10*(1-C6)</f>
        <v>608</v>
      </c>
      <c r="D8" s="363">
        <f>'Project Assumptions'!$I$10*(1-D6)*'PPA Assumptions &amp;Summary'!D6/12</f>
        <v>608</v>
      </c>
      <c r="E8" s="363">
        <f>'Project Assumptions'!$I$10*(1-E6)*'PPA Assumptions &amp;Summary'!E6/12</f>
        <v>608</v>
      </c>
      <c r="F8" s="363">
        <f>'Project Assumptions'!$I$10*(1-F6)*'PPA Assumptions &amp;Summary'!F6/12</f>
        <v>253.33333333333334</v>
      </c>
      <c r="G8" s="363">
        <f>'Project Assumptions'!$I$10*(1-G6)*'PPA Assumptions &amp;Summary'!G6/12</f>
        <v>0</v>
      </c>
      <c r="H8" s="363">
        <f>'Project Assumptions'!$I$10*(1-H6)*'PPA Assumptions &amp;Summary'!H6/12</f>
        <v>0</v>
      </c>
      <c r="I8" s="363">
        <f>'Project Assumptions'!$I$10*(1-I6)*'PPA Assumptions &amp;Summary'!I6/12</f>
        <v>0</v>
      </c>
      <c r="J8" s="363">
        <f>'Project Assumptions'!$I$10*(1-J6)*'PPA Assumptions &amp;Summary'!J6/12</f>
        <v>0</v>
      </c>
      <c r="K8" s="363">
        <f>'Project Assumptions'!$I$10*(1-K6)*'PPA Assumptions &amp;Summary'!K6/12</f>
        <v>0</v>
      </c>
      <c r="L8" s="363">
        <f>'Project Assumptions'!$I$10*(1-L6)*'PPA Assumptions &amp;Summary'!L6/12</f>
        <v>0</v>
      </c>
      <c r="M8" s="363">
        <f>'Project Assumptions'!$I$10*(1-M6)*'PPA Assumptions &amp;Summary'!M6/12</f>
        <v>0</v>
      </c>
      <c r="N8" s="363">
        <f>'Project Assumptions'!$I$10*(1-N6)*'PPA Assumptions &amp;Summary'!N6/12</f>
        <v>0</v>
      </c>
      <c r="O8" s="363">
        <f>'Project Assumptions'!$I$10*(1-O6)*'PPA Assumptions &amp;Summary'!O6/12</f>
        <v>0</v>
      </c>
      <c r="P8" s="363">
        <f>'Project Assumptions'!$I$10*(1-P6)*'PPA Assumptions &amp;Summary'!P6/12</f>
        <v>0</v>
      </c>
      <c r="Q8" s="363">
        <f>'Project Assumptions'!$I$10*(1-Q6)*'PPA Assumptions &amp;Summary'!Q6/12</f>
        <v>0</v>
      </c>
      <c r="R8" s="363">
        <f>'Project Assumptions'!$I$10*(1-R6)*'PPA Assumptions &amp;Summary'!R6/12</f>
        <v>0</v>
      </c>
      <c r="S8" s="363">
        <f>'Project Assumptions'!$I$10*(1-S6)*'PPA Assumptions &amp;Summary'!S6/12</f>
        <v>0</v>
      </c>
      <c r="T8" s="363">
        <f>'Project Assumptions'!$I$10*(1-T6)*'PPA Assumptions &amp;Summary'!T6/12</f>
        <v>0</v>
      </c>
      <c r="U8" s="363">
        <f>'Project Assumptions'!$I$10*(1-U6)*'PPA Assumptions &amp;Summary'!U6/12</f>
        <v>0</v>
      </c>
      <c r="V8" s="363">
        <f>'Project Assumptions'!$I$10*(1-V6)*'PPA Assumptions &amp;Summary'!V6/12</f>
        <v>0</v>
      </c>
      <c r="W8" s="397">
        <f>'Project Assumptions'!$I$10*(1-W6)*'PPA Assumptions &amp;Summary'!W6/12</f>
        <v>0</v>
      </c>
      <c r="X8" s="353"/>
      <c r="Y8" s="353"/>
      <c r="Z8" s="353"/>
      <c r="AA8" s="353"/>
    </row>
    <row r="9" spans="1:228" s="36" customFormat="1" ht="12.6" customHeight="1">
      <c r="A9" s="359"/>
      <c r="B9" s="346"/>
      <c r="C9" s="363"/>
      <c r="D9" s="363"/>
      <c r="E9" s="363"/>
      <c r="F9" s="363"/>
      <c r="G9" s="363"/>
      <c r="H9" s="363"/>
      <c r="I9" s="363"/>
      <c r="J9" s="363"/>
      <c r="K9" s="363"/>
      <c r="L9" s="363"/>
      <c r="M9" s="363"/>
      <c r="N9" s="363"/>
      <c r="O9" s="363"/>
      <c r="P9" s="363"/>
      <c r="Q9" s="363"/>
      <c r="R9" s="363"/>
      <c r="S9" s="363"/>
      <c r="T9" s="363"/>
      <c r="U9" s="363"/>
      <c r="V9" s="363"/>
      <c r="W9" s="397"/>
      <c r="X9" s="353"/>
      <c r="Y9" s="353"/>
      <c r="Z9" s="353"/>
      <c r="AA9" s="353"/>
    </row>
    <row r="10" spans="1:228" s="36" customFormat="1" ht="12.6" customHeight="1">
      <c r="A10" s="359" t="s">
        <v>635</v>
      </c>
      <c r="B10" s="346"/>
      <c r="C10" s="363">
        <f>IF(C3&gt;ProjectLife+1,0,C8)</f>
        <v>608</v>
      </c>
      <c r="D10" s="363">
        <f t="shared" ref="D10:W10" si="0">IF(D3&gt;ProjectLife+1,0,D8)</f>
        <v>608</v>
      </c>
      <c r="E10" s="363">
        <f t="shared" si="0"/>
        <v>608</v>
      </c>
      <c r="F10" s="363">
        <f t="shared" si="0"/>
        <v>253.33333333333334</v>
      </c>
      <c r="G10" s="363">
        <f t="shared" si="0"/>
        <v>0</v>
      </c>
      <c r="H10" s="363">
        <f t="shared" si="0"/>
        <v>0</v>
      </c>
      <c r="I10" s="363">
        <f t="shared" si="0"/>
        <v>0</v>
      </c>
      <c r="J10" s="363">
        <f t="shared" si="0"/>
        <v>0</v>
      </c>
      <c r="K10" s="363">
        <f t="shared" si="0"/>
        <v>0</v>
      </c>
      <c r="L10" s="363">
        <f t="shared" si="0"/>
        <v>0</v>
      </c>
      <c r="M10" s="363">
        <f t="shared" si="0"/>
        <v>0</v>
      </c>
      <c r="N10" s="363">
        <f t="shared" si="0"/>
        <v>0</v>
      </c>
      <c r="O10" s="363">
        <f t="shared" si="0"/>
        <v>0</v>
      </c>
      <c r="P10" s="363">
        <f t="shared" si="0"/>
        <v>0</v>
      </c>
      <c r="Q10" s="363">
        <f t="shared" si="0"/>
        <v>0</v>
      </c>
      <c r="R10" s="363">
        <f t="shared" si="0"/>
        <v>0</v>
      </c>
      <c r="S10" s="363">
        <f t="shared" si="0"/>
        <v>0</v>
      </c>
      <c r="T10" s="363">
        <f t="shared" si="0"/>
        <v>0</v>
      </c>
      <c r="U10" s="363">
        <f t="shared" si="0"/>
        <v>0</v>
      </c>
      <c r="V10" s="363">
        <f t="shared" si="0"/>
        <v>0</v>
      </c>
      <c r="W10" s="397">
        <f t="shared" si="0"/>
        <v>0</v>
      </c>
      <c r="X10" s="353"/>
      <c r="Y10" s="353"/>
      <c r="Z10" s="353"/>
      <c r="AA10" s="353"/>
      <c r="AB10" s="353"/>
      <c r="AC10" s="353"/>
      <c r="AD10" s="353"/>
      <c r="AE10" s="353"/>
      <c r="AF10" s="353"/>
      <c r="AG10" s="353"/>
      <c r="AH10" s="353"/>
      <c r="AI10" s="353"/>
      <c r="AJ10" s="353"/>
      <c r="AK10" s="353"/>
      <c r="AL10" s="353"/>
      <c r="AM10" s="353"/>
      <c r="AN10" s="353"/>
      <c r="AO10" s="353"/>
      <c r="AP10" s="353"/>
      <c r="AQ10" s="353"/>
      <c r="AR10" s="353"/>
      <c r="AS10" s="353"/>
      <c r="AT10" s="353"/>
      <c r="AU10" s="353"/>
      <c r="AV10" s="353"/>
      <c r="AW10" s="353"/>
      <c r="AX10" s="353"/>
      <c r="AY10" s="353"/>
      <c r="AZ10" s="353"/>
      <c r="BA10" s="353"/>
      <c r="BB10" s="353"/>
      <c r="BC10" s="353"/>
      <c r="BD10" s="353"/>
      <c r="BE10" s="353"/>
      <c r="BF10" s="353"/>
      <c r="BG10" s="353"/>
      <c r="BH10" s="353"/>
      <c r="BI10" s="353"/>
      <c r="BJ10" s="353"/>
      <c r="BK10" s="353"/>
      <c r="BL10" s="353"/>
      <c r="BM10" s="353"/>
      <c r="BN10" s="353"/>
      <c r="BO10" s="353"/>
      <c r="BP10" s="353"/>
      <c r="BQ10" s="353"/>
      <c r="BR10" s="353"/>
      <c r="BS10" s="353"/>
      <c r="BT10" s="353"/>
      <c r="BU10" s="353"/>
      <c r="BV10" s="353"/>
      <c r="BW10" s="353"/>
      <c r="BX10" s="353"/>
      <c r="BY10" s="353"/>
      <c r="BZ10" s="353"/>
      <c r="CA10" s="353"/>
      <c r="CB10" s="353"/>
      <c r="CC10" s="353"/>
      <c r="CD10" s="353"/>
      <c r="CE10" s="353"/>
      <c r="CF10" s="353"/>
      <c r="CG10" s="353"/>
      <c r="CH10" s="353"/>
      <c r="CI10" s="353"/>
      <c r="CJ10" s="353"/>
      <c r="CK10" s="353"/>
      <c r="CL10" s="353"/>
      <c r="CM10" s="353"/>
      <c r="CN10" s="353"/>
      <c r="CO10" s="353"/>
      <c r="CP10" s="353"/>
      <c r="CQ10" s="353"/>
      <c r="CR10" s="353"/>
      <c r="CS10" s="353"/>
      <c r="CT10" s="353"/>
      <c r="CU10" s="353"/>
      <c r="CV10" s="353"/>
      <c r="CW10" s="353"/>
      <c r="CX10" s="353"/>
      <c r="CY10" s="353"/>
      <c r="CZ10" s="353"/>
      <c r="DA10" s="353"/>
      <c r="DB10" s="353"/>
      <c r="DC10" s="353"/>
      <c r="DD10" s="353"/>
      <c r="DE10" s="353"/>
      <c r="DF10" s="353"/>
      <c r="DG10" s="353"/>
      <c r="DH10" s="353"/>
      <c r="DI10" s="353"/>
      <c r="DJ10" s="353"/>
      <c r="DK10" s="353"/>
      <c r="DL10" s="353"/>
      <c r="DM10" s="353"/>
      <c r="DN10" s="353"/>
      <c r="DO10" s="353"/>
      <c r="DP10" s="353"/>
      <c r="DQ10" s="353"/>
      <c r="DR10" s="353"/>
      <c r="DS10" s="353"/>
      <c r="DT10" s="353"/>
      <c r="DU10" s="353"/>
      <c r="DV10" s="353"/>
      <c r="DW10" s="353"/>
      <c r="DX10" s="353"/>
      <c r="DY10" s="353"/>
      <c r="DZ10" s="353"/>
      <c r="EA10" s="353"/>
      <c r="EB10" s="353"/>
      <c r="EC10" s="353"/>
      <c r="ED10" s="353"/>
      <c r="EE10" s="353"/>
      <c r="EF10" s="353"/>
      <c r="EG10" s="353"/>
      <c r="EH10" s="353"/>
      <c r="EI10" s="353"/>
      <c r="EJ10" s="353"/>
      <c r="EK10" s="353"/>
      <c r="EL10" s="353"/>
      <c r="EM10" s="353"/>
      <c r="EN10" s="353"/>
      <c r="EO10" s="353"/>
      <c r="EP10" s="353"/>
      <c r="EQ10" s="353"/>
      <c r="ER10" s="353"/>
      <c r="ES10" s="353"/>
      <c r="ET10" s="353"/>
      <c r="EU10" s="353"/>
      <c r="EV10" s="353"/>
      <c r="EW10" s="353"/>
      <c r="EX10" s="353"/>
      <c r="EY10" s="353"/>
      <c r="EZ10" s="353"/>
      <c r="FA10" s="353"/>
      <c r="FB10" s="353"/>
      <c r="FC10" s="353"/>
      <c r="FD10" s="353"/>
      <c r="FE10" s="353"/>
      <c r="FF10" s="353"/>
      <c r="FG10" s="353"/>
      <c r="FH10" s="353"/>
      <c r="FI10" s="353"/>
      <c r="FJ10" s="353"/>
      <c r="FK10" s="353"/>
      <c r="FL10" s="353"/>
      <c r="FM10" s="353"/>
      <c r="FN10" s="353"/>
      <c r="FO10" s="353"/>
      <c r="FP10" s="353"/>
      <c r="FQ10" s="353"/>
      <c r="FR10" s="353"/>
      <c r="FS10" s="353"/>
      <c r="FT10" s="353"/>
      <c r="FU10" s="353"/>
      <c r="FV10" s="353"/>
      <c r="FW10" s="353"/>
      <c r="FX10" s="353"/>
      <c r="FY10" s="353"/>
      <c r="FZ10" s="353"/>
      <c r="GA10" s="353"/>
      <c r="GB10" s="353"/>
      <c r="GC10" s="353"/>
      <c r="GD10" s="353"/>
      <c r="GE10" s="353"/>
      <c r="GF10" s="353"/>
      <c r="GG10" s="353"/>
      <c r="GH10" s="353"/>
      <c r="GI10" s="353"/>
      <c r="GJ10" s="353"/>
      <c r="GK10" s="353"/>
      <c r="GL10" s="353"/>
      <c r="GM10" s="353"/>
      <c r="GN10" s="353"/>
      <c r="GO10" s="353"/>
      <c r="GP10" s="353"/>
      <c r="GQ10" s="353"/>
      <c r="GR10" s="353"/>
      <c r="GS10" s="353"/>
      <c r="GT10" s="353"/>
      <c r="GU10" s="353"/>
      <c r="GV10" s="353"/>
      <c r="GW10" s="353"/>
      <c r="GX10" s="353"/>
      <c r="GY10" s="353"/>
      <c r="GZ10" s="353"/>
      <c r="HA10" s="353"/>
      <c r="HB10" s="353"/>
      <c r="HC10" s="353"/>
      <c r="HD10" s="353"/>
      <c r="HE10" s="353"/>
      <c r="HF10" s="353"/>
      <c r="HG10" s="353"/>
      <c r="HH10" s="353"/>
      <c r="HI10" s="353"/>
      <c r="HJ10" s="353"/>
      <c r="HK10" s="353"/>
      <c r="HL10" s="353"/>
      <c r="HM10" s="353"/>
      <c r="HN10" s="353"/>
      <c r="HO10" s="353"/>
      <c r="HP10" s="353"/>
      <c r="HQ10" s="353"/>
      <c r="HR10" s="353"/>
      <c r="HS10" s="353"/>
      <c r="HT10" s="353"/>
    </row>
    <row r="11" spans="1:228" s="36" customFormat="1" ht="12.6" customHeight="1">
      <c r="A11" s="359" t="s">
        <v>89</v>
      </c>
      <c r="B11" s="346"/>
      <c r="C11" s="388">
        <f>IF(C3&gt;'Project Assumptions'!$I$15+1,0,'Project Assumptions'!$G$14)</f>
        <v>1200</v>
      </c>
      <c r="D11" s="388">
        <f>IF(D3&gt;'Project Assumptions'!$I$15+1,0,'Project Assumptions'!$G$14)</f>
        <v>1200</v>
      </c>
      <c r="E11" s="388">
        <f>IF(E3&gt;'Project Assumptions'!$I$15+1,0,'Project Assumptions'!$G$14)</f>
        <v>1200</v>
      </c>
      <c r="F11" s="388">
        <f>IF(F3&gt;'Project Assumptions'!$I$15+1,0,'Project Assumptions'!$G$14)</f>
        <v>1200</v>
      </c>
      <c r="G11" s="388">
        <f>IF(G3&gt;'Project Assumptions'!$I$15+1,0,'Project Assumptions'!$G$14)</f>
        <v>1200</v>
      </c>
      <c r="H11" s="388">
        <f>IF(H3&gt;'Project Assumptions'!$I$15+1,0,'Project Assumptions'!$G$14)</f>
        <v>1200</v>
      </c>
      <c r="I11" s="388">
        <f>IF(I3&gt;'Project Assumptions'!$I$15+1,0,'Project Assumptions'!$G$14)</f>
        <v>1200</v>
      </c>
      <c r="J11" s="388">
        <f>IF(J3&gt;'Project Assumptions'!$I$15+1,0,'Project Assumptions'!$G$14)</f>
        <v>1200</v>
      </c>
      <c r="K11" s="388">
        <f>IF(K3&gt;'Project Assumptions'!$I$15+1,0,'Project Assumptions'!$G$14)</f>
        <v>1200</v>
      </c>
      <c r="L11" s="388">
        <f>IF(L3&gt;'Project Assumptions'!$I$15+1,0,'Project Assumptions'!$G$14)</f>
        <v>1200</v>
      </c>
      <c r="M11" s="388">
        <f>IF(M3&gt;'Project Assumptions'!$I$15+1,0,'Project Assumptions'!$G$14)</f>
        <v>1200</v>
      </c>
      <c r="N11" s="388">
        <f>IF(N3&gt;'Project Assumptions'!$I$15+1,0,'Project Assumptions'!$G$14)</f>
        <v>1200</v>
      </c>
      <c r="O11" s="388">
        <f>IF(O3&gt;'Project Assumptions'!$I$15+1,0,'Project Assumptions'!$G$14)</f>
        <v>1200</v>
      </c>
      <c r="P11" s="388">
        <f>IF(P3&gt;'Project Assumptions'!$I$15+1,0,'Project Assumptions'!$G$14)</f>
        <v>1200</v>
      </c>
      <c r="Q11" s="388">
        <f>IF(Q3&gt;'Project Assumptions'!$I$15+1,0,'Project Assumptions'!$G$14)</f>
        <v>1200</v>
      </c>
      <c r="R11" s="388">
        <f>IF(R3&gt;'Project Assumptions'!$I$15+1,0,'Project Assumptions'!$G$14)</f>
        <v>1200</v>
      </c>
      <c r="S11" s="388">
        <f>IF(S3&gt;'Project Assumptions'!$I$15+1,0,'Project Assumptions'!$G$14)</f>
        <v>1200</v>
      </c>
      <c r="T11" s="388">
        <f>IF(T3&gt;'Project Assumptions'!$I$15+1,0,'Project Assumptions'!$G$14)</f>
        <v>1200</v>
      </c>
      <c r="U11" s="388">
        <f>IF(U3&gt;'Project Assumptions'!$I$15+1,0,'Project Assumptions'!$G$14)</f>
        <v>1200</v>
      </c>
      <c r="V11" s="388">
        <f>IF(V3&gt;'Project Assumptions'!$I$15+1,0,'Project Assumptions'!$G$14)</f>
        <v>1200</v>
      </c>
      <c r="W11" s="389">
        <f>IF(W3&gt;'Project Assumptions'!$I$15+1,0,'Project Assumptions'!$G$14)</f>
        <v>1200</v>
      </c>
      <c r="X11" s="403"/>
      <c r="Y11" s="403"/>
      <c r="Z11" s="403"/>
      <c r="AA11" s="403"/>
    </row>
    <row r="12" spans="1:228" s="36" customFormat="1" ht="12.6" customHeight="1">
      <c r="A12" s="781" t="s">
        <v>138</v>
      </c>
      <c r="B12" s="371"/>
      <c r="C12" s="782">
        <f>IF(C3&gt;'Project Assumptions'!$I$15+1,0,C11*C10)</f>
        <v>729600</v>
      </c>
      <c r="D12" s="782">
        <f>IF(D3&gt;'Project Assumptions'!$I$15+1,0,D11*D10)</f>
        <v>729600</v>
      </c>
      <c r="E12" s="782">
        <f>IF(E3&gt;'Project Assumptions'!$I$15+1,0,E11*E10)</f>
        <v>729600</v>
      </c>
      <c r="F12" s="782">
        <f>IF(F3&gt;'Project Assumptions'!$I$15+1,0,F11*F10)</f>
        <v>304000</v>
      </c>
      <c r="G12" s="782">
        <f>IF(G3&gt;'Project Assumptions'!$I$15+1,0,G11*G10)</f>
        <v>0</v>
      </c>
      <c r="H12" s="782">
        <f>IF(H3&gt;'Project Assumptions'!$I$15+1,0,H11*H10)</f>
        <v>0</v>
      </c>
      <c r="I12" s="782">
        <f>IF(I3&gt;'Project Assumptions'!$I$15+1,0,I11*I10)</f>
        <v>0</v>
      </c>
      <c r="J12" s="782">
        <f>IF(J3&gt;'Project Assumptions'!$I$15+1,0,J11*J10)</f>
        <v>0</v>
      </c>
      <c r="K12" s="782">
        <f>IF(K3&gt;'Project Assumptions'!$I$15+1,0,K11*K10)</f>
        <v>0</v>
      </c>
      <c r="L12" s="782">
        <f>IF(L3&gt;'Project Assumptions'!$I$15+1,0,L11*L10)</f>
        <v>0</v>
      </c>
      <c r="M12" s="782">
        <f>IF(M3&gt;'Project Assumptions'!$I$15+1,0,M11*M10)</f>
        <v>0</v>
      </c>
      <c r="N12" s="782">
        <f>IF(N3&gt;'Project Assumptions'!$I$15+1,0,N11*N10)</f>
        <v>0</v>
      </c>
      <c r="O12" s="782">
        <f>IF(O3&gt;'Project Assumptions'!$I$15+1,0,O11*O10)</f>
        <v>0</v>
      </c>
      <c r="P12" s="782">
        <f>IF(P3&gt;'Project Assumptions'!$I$15+1,0,P11*P10)</f>
        <v>0</v>
      </c>
      <c r="Q12" s="782">
        <f>IF(Q3&gt;'Project Assumptions'!$I$15+1,0,Q11*Q10)</f>
        <v>0</v>
      </c>
      <c r="R12" s="782">
        <f>IF(R3&gt;'Project Assumptions'!$I$15+1,0,R11*R10)</f>
        <v>0</v>
      </c>
      <c r="S12" s="782">
        <f>IF(S3&gt;'Project Assumptions'!$I$15+1,0,S11*S10)</f>
        <v>0</v>
      </c>
      <c r="T12" s="782">
        <f>IF(T3&gt;'Project Assumptions'!$I$15+1,0,T11*T10)</f>
        <v>0</v>
      </c>
      <c r="U12" s="782">
        <f>IF(U3&gt;'Project Assumptions'!$I$15+1,0,U11*U10)</f>
        <v>0</v>
      </c>
      <c r="V12" s="782">
        <f>IF(V3&gt;'Project Assumptions'!$I$15+1,0,V11*V10)</f>
        <v>0</v>
      </c>
      <c r="W12" s="1029">
        <f>IF(W3&gt;'Project Assumptions'!$I$15+1,0,W11*W10)</f>
        <v>0</v>
      </c>
      <c r="X12" s="401"/>
      <c r="Y12" s="401"/>
      <c r="Z12" s="401"/>
      <c r="AA12" s="401"/>
    </row>
    <row r="13" spans="1:228" s="36" customFormat="1" ht="12.6" customHeight="1">
      <c r="A13" s="1024"/>
      <c r="B13" s="346"/>
      <c r="C13" s="360"/>
      <c r="D13" s="360"/>
      <c r="E13" s="360"/>
      <c r="F13" s="360"/>
      <c r="G13" s="360"/>
      <c r="H13" s="360"/>
      <c r="I13" s="360"/>
      <c r="J13" s="360"/>
      <c r="K13" s="360"/>
      <c r="L13" s="360"/>
      <c r="M13" s="360"/>
      <c r="N13" s="360"/>
      <c r="O13" s="360"/>
      <c r="P13" s="360"/>
      <c r="Q13" s="360"/>
      <c r="R13" s="360"/>
      <c r="S13" s="360"/>
      <c r="T13" s="360"/>
      <c r="U13" s="360"/>
      <c r="V13" s="360"/>
      <c r="W13" s="360"/>
      <c r="X13" s="401"/>
      <c r="Y13" s="401"/>
      <c r="Z13" s="401"/>
      <c r="AA13" s="401"/>
    </row>
    <row r="14" spans="1:228" s="36" customFormat="1" ht="12.6" customHeight="1">
      <c r="A14" s="675" t="s">
        <v>646</v>
      </c>
      <c r="B14" s="835"/>
      <c r="C14" s="835"/>
      <c r="D14" s="835"/>
      <c r="E14" s="835"/>
      <c r="F14" s="835"/>
      <c r="G14" s="835"/>
      <c r="H14" s="835"/>
      <c r="I14" s="835"/>
      <c r="J14" s="835"/>
      <c r="K14" s="835"/>
      <c r="L14" s="835"/>
      <c r="M14" s="835"/>
      <c r="N14" s="835"/>
      <c r="O14" s="835"/>
      <c r="P14" s="835"/>
      <c r="Q14" s="835"/>
      <c r="R14" s="835"/>
      <c r="S14" s="835"/>
      <c r="T14" s="835"/>
      <c r="U14" s="835"/>
      <c r="V14" s="835"/>
      <c r="W14" s="836"/>
      <c r="X14" s="401"/>
      <c r="Y14" s="401"/>
      <c r="Z14" s="401"/>
      <c r="AA14" s="401"/>
    </row>
    <row r="15" spans="1:228" s="36" customFormat="1" ht="12.6" customHeight="1">
      <c r="A15" s="359" t="s">
        <v>97</v>
      </c>
      <c r="B15" s="346"/>
      <c r="C15" s="1004">
        <f>Deg_Rate*(1-'PPA Assumptions &amp;Summary'!C19)</f>
        <v>0.02</v>
      </c>
      <c r="D15" s="1004">
        <f>Deg_Rate*(1-'PPA Assumptions &amp;Summary'!D19)</f>
        <v>0.02</v>
      </c>
      <c r="E15" s="1004">
        <f>Deg_Rate*(1-'PPA Assumptions &amp;Summary'!E19)</f>
        <v>0.02</v>
      </c>
      <c r="F15" s="1004">
        <f>Deg_Rate*(1-'PPA Assumptions &amp;Summary'!F19)</f>
        <v>0.02</v>
      </c>
      <c r="G15" s="1004">
        <f>Deg_Rate*(1-'PPA Assumptions &amp;Summary'!G19)</f>
        <v>0.02</v>
      </c>
      <c r="H15" s="1004">
        <f>Deg_Rate*(1-'PPA Assumptions &amp;Summary'!H19)</f>
        <v>0.02</v>
      </c>
      <c r="I15" s="1004">
        <f>Deg_Rate*(1-'PPA Assumptions &amp;Summary'!I19)</f>
        <v>0.02</v>
      </c>
      <c r="J15" s="1004">
        <f>Deg_Rate*(1-'PPA Assumptions &amp;Summary'!J19)</f>
        <v>0.02</v>
      </c>
      <c r="K15" s="1004">
        <f>Deg_Rate*(1-'PPA Assumptions &amp;Summary'!K19)</f>
        <v>0.02</v>
      </c>
      <c r="L15" s="1004">
        <f>Deg_Rate*(1-'PPA Assumptions &amp;Summary'!L19)</f>
        <v>0.02</v>
      </c>
      <c r="M15" s="1004">
        <f>Deg_Rate*(1-'PPA Assumptions &amp;Summary'!M19)</f>
        <v>0.02</v>
      </c>
      <c r="N15" s="1004">
        <f>Deg_Rate*(1-'PPA Assumptions &amp;Summary'!N19)</f>
        <v>0.02</v>
      </c>
      <c r="O15" s="1004">
        <f>Deg_Rate*(1-'PPA Assumptions &amp;Summary'!O19)</f>
        <v>0.02</v>
      </c>
      <c r="P15" s="1004">
        <f>Deg_Rate*(1-'PPA Assumptions &amp;Summary'!P19)</f>
        <v>0.02</v>
      </c>
      <c r="Q15" s="1004">
        <f>Deg_Rate*(1-'PPA Assumptions &amp;Summary'!Q19)</f>
        <v>0.02</v>
      </c>
      <c r="R15" s="1004">
        <f>Deg_Rate*(1-'PPA Assumptions &amp;Summary'!R19)</f>
        <v>0.02</v>
      </c>
      <c r="S15" s="1004">
        <f>Deg_Rate*(1-'PPA Assumptions &amp;Summary'!S19)</f>
        <v>0.02</v>
      </c>
      <c r="T15" s="1004">
        <f>Deg_Rate*(1-'PPA Assumptions &amp;Summary'!T19)</f>
        <v>0.02</v>
      </c>
      <c r="U15" s="1004">
        <f>Deg_Rate*(1-'PPA Assumptions &amp;Summary'!U19)</f>
        <v>0.02</v>
      </c>
      <c r="V15" s="1004">
        <f>Deg_Rate*(1-'PPA Assumptions &amp;Summary'!V19)</f>
        <v>0.02</v>
      </c>
      <c r="W15" s="1005">
        <f>Deg_Rate*(1-'PPA Assumptions &amp;Summary'!W19)</f>
        <v>0.02</v>
      </c>
      <c r="X15" s="401"/>
      <c r="Y15" s="401"/>
      <c r="Z15" s="401"/>
      <c r="AA15" s="401"/>
    </row>
    <row r="16" spans="1:228" s="36" customFormat="1" ht="12.6" customHeight="1">
      <c r="A16" s="359" t="s">
        <v>98</v>
      </c>
      <c r="B16" s="346"/>
      <c r="C16" s="778">
        <v>0</v>
      </c>
      <c r="D16" s="778">
        <v>0</v>
      </c>
      <c r="E16" s="778">
        <v>0</v>
      </c>
      <c r="F16" s="778">
        <v>0</v>
      </c>
      <c r="G16" s="778">
        <v>0</v>
      </c>
      <c r="H16" s="778">
        <v>0</v>
      </c>
      <c r="I16" s="778">
        <v>0</v>
      </c>
      <c r="J16" s="778">
        <v>0</v>
      </c>
      <c r="K16" s="778">
        <v>0</v>
      </c>
      <c r="L16" s="778">
        <v>0</v>
      </c>
      <c r="M16" s="778">
        <v>0</v>
      </c>
      <c r="N16" s="778">
        <v>0</v>
      </c>
      <c r="O16" s="778">
        <v>0</v>
      </c>
      <c r="P16" s="778">
        <v>0</v>
      </c>
      <c r="Q16" s="778">
        <v>0</v>
      </c>
      <c r="R16" s="778">
        <v>0</v>
      </c>
      <c r="S16" s="778">
        <v>0</v>
      </c>
      <c r="T16" s="778">
        <v>0</v>
      </c>
      <c r="U16" s="778">
        <v>0</v>
      </c>
      <c r="V16" s="778">
        <v>0</v>
      </c>
      <c r="W16" s="779">
        <v>0</v>
      </c>
      <c r="X16" s="401"/>
      <c r="Y16" s="401"/>
      <c r="Z16" s="401"/>
      <c r="AA16" s="401"/>
    </row>
    <row r="17" spans="1:27" s="36" customFormat="1" ht="12.6" customHeight="1">
      <c r="A17" s="359" t="s">
        <v>88</v>
      </c>
      <c r="B17" s="346"/>
      <c r="C17" s="363">
        <f>ISO_NetMW*(1-C15)</f>
        <v>652.58199999999999</v>
      </c>
      <c r="D17" s="363">
        <f t="shared" ref="D17:W17" si="1">ISO_NetMW*(1-D15)</f>
        <v>652.58199999999999</v>
      </c>
      <c r="E17" s="363">
        <f t="shared" si="1"/>
        <v>652.58199999999999</v>
      </c>
      <c r="F17" s="363">
        <f t="shared" si="1"/>
        <v>652.58199999999999</v>
      </c>
      <c r="G17" s="363">
        <f t="shared" si="1"/>
        <v>652.58199999999999</v>
      </c>
      <c r="H17" s="363">
        <f t="shared" si="1"/>
        <v>652.58199999999999</v>
      </c>
      <c r="I17" s="363">
        <f t="shared" si="1"/>
        <v>652.58199999999999</v>
      </c>
      <c r="J17" s="363">
        <f t="shared" si="1"/>
        <v>652.58199999999999</v>
      </c>
      <c r="K17" s="363">
        <f t="shared" si="1"/>
        <v>652.58199999999999</v>
      </c>
      <c r="L17" s="363">
        <f t="shared" si="1"/>
        <v>652.58199999999999</v>
      </c>
      <c r="M17" s="363">
        <f t="shared" si="1"/>
        <v>652.58199999999999</v>
      </c>
      <c r="N17" s="363">
        <f t="shared" si="1"/>
        <v>652.58199999999999</v>
      </c>
      <c r="O17" s="363">
        <f t="shared" si="1"/>
        <v>652.58199999999999</v>
      </c>
      <c r="P17" s="363">
        <f t="shared" si="1"/>
        <v>652.58199999999999</v>
      </c>
      <c r="Q17" s="363">
        <f t="shared" si="1"/>
        <v>652.58199999999999</v>
      </c>
      <c r="R17" s="363">
        <f t="shared" si="1"/>
        <v>652.58199999999999</v>
      </c>
      <c r="S17" s="363">
        <f t="shared" si="1"/>
        <v>652.58199999999999</v>
      </c>
      <c r="T17" s="363">
        <f t="shared" si="1"/>
        <v>652.58199999999999</v>
      </c>
      <c r="U17" s="363">
        <f t="shared" si="1"/>
        <v>652.58199999999999</v>
      </c>
      <c r="V17" s="363">
        <f t="shared" si="1"/>
        <v>652.58199999999999</v>
      </c>
      <c r="W17" s="397">
        <f t="shared" si="1"/>
        <v>652.58199999999999</v>
      </c>
      <c r="X17" s="401"/>
      <c r="Y17" s="401"/>
      <c r="Z17" s="401"/>
      <c r="AA17" s="401"/>
    </row>
    <row r="18" spans="1:27" s="36" customFormat="1" ht="12.6" customHeight="1">
      <c r="A18" s="359"/>
      <c r="B18" s="346"/>
      <c r="C18" s="363"/>
      <c r="D18" s="363"/>
      <c r="E18" s="363"/>
      <c r="F18" s="363"/>
      <c r="G18" s="363"/>
      <c r="H18" s="363"/>
      <c r="I18" s="363"/>
      <c r="J18" s="363"/>
      <c r="K18" s="363"/>
      <c r="L18" s="363"/>
      <c r="M18" s="363"/>
      <c r="N18" s="363"/>
      <c r="O18" s="363"/>
      <c r="P18" s="363"/>
      <c r="Q18" s="363"/>
      <c r="R18" s="363"/>
      <c r="S18" s="363"/>
      <c r="T18" s="363"/>
      <c r="U18" s="363"/>
      <c r="V18" s="363"/>
      <c r="W18" s="397"/>
      <c r="X18" s="401"/>
      <c r="Y18" s="401"/>
      <c r="Z18" s="401"/>
      <c r="AA18" s="401"/>
    </row>
    <row r="19" spans="1:27" s="36" customFormat="1" ht="12.6" customHeight="1">
      <c r="A19" s="359" t="s">
        <v>635</v>
      </c>
      <c r="B19" s="346"/>
      <c r="C19" s="363">
        <f>IF(C3&gt;ProjectLife+1,0,(C17-C20)*'PPA Assumptions &amp;Summary'!C7/12)</f>
        <v>0</v>
      </c>
      <c r="D19" s="363">
        <f>IF(D3&gt;ProjectLife+1,0,(D17-D20)*'PPA Assumptions &amp;Summary'!D7/12)</f>
        <v>0</v>
      </c>
      <c r="E19" s="363">
        <f>IF(E3&gt;ProjectLife+1,0,(E17-E20)*'PPA Assumptions &amp;Summary'!E7/12)</f>
        <v>0</v>
      </c>
      <c r="F19" s="363">
        <f>IF(F3&gt;ProjectLife+1,0,(F17-F20)*'PPA Assumptions &amp;Summary'!F7/12)</f>
        <v>376.23165027777776</v>
      </c>
      <c r="G19" s="363">
        <f>IF(G3&gt;ProjectLife+1,0,(G17-G20)*'PPA Assumptions &amp;Summary'!G7/12)</f>
        <v>639.53035999999997</v>
      </c>
      <c r="H19" s="363">
        <f>IF(H3&gt;ProjectLife+1,0,(H17-H20)*'PPA Assumptions &amp;Summary'!H7/12)</f>
        <v>639.53035999999997</v>
      </c>
      <c r="I19" s="363">
        <f>IF(I3&gt;ProjectLife+1,0,(I17-I20)*'PPA Assumptions &amp;Summary'!I7/12)</f>
        <v>639.53035999999997</v>
      </c>
      <c r="J19" s="363">
        <f>IF(J3&gt;ProjectLife+1,0,(J17-J20)*'PPA Assumptions &amp;Summary'!J7/12)</f>
        <v>639.53035999999997</v>
      </c>
      <c r="K19" s="363">
        <f>IF(K3&gt;ProjectLife+1,0,(K17-K20)*'PPA Assumptions &amp;Summary'!K7/12)</f>
        <v>639.53035999999997</v>
      </c>
      <c r="L19" s="363">
        <f>IF(L3&gt;ProjectLife+1,0,(L17-L20)*'PPA Assumptions &amp;Summary'!L7/12)</f>
        <v>639.53035999999997</v>
      </c>
      <c r="M19" s="363">
        <f>IF(M3&gt;ProjectLife+1,0,(M17-M20)*'PPA Assumptions &amp;Summary'!M7/12)</f>
        <v>639.53035999999997</v>
      </c>
      <c r="N19" s="363">
        <f>IF(N3&gt;ProjectLife+1,0,(N17-N20)*'PPA Assumptions &amp;Summary'!N7/12)</f>
        <v>639.53035999999997</v>
      </c>
      <c r="O19" s="363">
        <f>IF(O3&gt;ProjectLife+1,0,(O17-O20)*'PPA Assumptions &amp;Summary'!O7/12)</f>
        <v>639.53035999999997</v>
      </c>
      <c r="P19" s="363">
        <f>IF(P3&gt;ProjectLife+1,0,(P17-P20)*'PPA Assumptions &amp;Summary'!P7/12)</f>
        <v>639.53035999999997</v>
      </c>
      <c r="Q19" s="363">
        <f>IF(Q3&gt;ProjectLife+1,0,(Q17-Q20)*'PPA Assumptions &amp;Summary'!Q7/12)</f>
        <v>639.53035999999997</v>
      </c>
      <c r="R19" s="363">
        <f>IF(R3&gt;ProjectLife+1,0,(R17-R20)*'PPA Assumptions &amp;Summary'!R7/12)</f>
        <v>639.53035999999997</v>
      </c>
      <c r="S19" s="363">
        <f>IF(S3&gt;ProjectLife+1,0,(S17-S20)*'PPA Assumptions &amp;Summary'!S7/12)</f>
        <v>639.53035999999997</v>
      </c>
      <c r="T19" s="363">
        <f>IF(T3&gt;ProjectLife+1,0,(T17-T20)*'PPA Assumptions &amp;Summary'!T7/12)</f>
        <v>639.53035999999997</v>
      </c>
      <c r="U19" s="363">
        <f>IF(U3&gt;ProjectLife+1,0,(U17-U20)*'PPA Assumptions &amp;Summary'!U7/12)</f>
        <v>639.53035999999997</v>
      </c>
      <c r="V19" s="363">
        <f>IF(V3&gt;ProjectLife+1,0,(V17-V20)*'PPA Assumptions &amp;Summary'!V7/12)</f>
        <v>639.53035999999997</v>
      </c>
      <c r="W19" s="397">
        <f>IF(W3&gt;ProjectLife+1,0,(W17-W20)*'PPA Assumptions &amp;Summary'!W7/12)</f>
        <v>269.64325694444443</v>
      </c>
      <c r="X19" s="401"/>
      <c r="Y19" s="401"/>
      <c r="Z19" s="401"/>
      <c r="AA19" s="401"/>
    </row>
    <row r="20" spans="1:27" s="36" customFormat="1" ht="12.6" customHeight="1">
      <c r="A20" s="359" t="s">
        <v>636</v>
      </c>
      <c r="B20" s="346"/>
      <c r="C20" s="363">
        <f>C17*Cap_Factor_Energy*'PPA Assumptions &amp;Summary'!C7/12</f>
        <v>0</v>
      </c>
      <c r="D20" s="363">
        <f>D17*Cap_Factor_Energy*'PPA Assumptions &amp;Summary'!D7/12</f>
        <v>0</v>
      </c>
      <c r="E20" s="363">
        <f>E17*Cap_Factor_Energy*'PPA Assumptions &amp;Summary'!E7/12</f>
        <v>0</v>
      </c>
      <c r="F20" s="363">
        <f>F17*Cap_Factor_Energy*'PPA Assumptions &amp;Summary'!F7/12</f>
        <v>7.613456666666667</v>
      </c>
      <c r="G20" s="363">
        <f>G17*Cap_Factor_Energy*'PPA Assumptions &amp;Summary'!G7/12</f>
        <v>13.051640000000001</v>
      </c>
      <c r="H20" s="363">
        <f>H17*Cap_Factor_Energy*'PPA Assumptions &amp;Summary'!H7/12</f>
        <v>13.051640000000001</v>
      </c>
      <c r="I20" s="363">
        <f>I17*Cap_Factor_Energy*'PPA Assumptions &amp;Summary'!I7/12</f>
        <v>13.051640000000001</v>
      </c>
      <c r="J20" s="363">
        <f>J17*Cap_Factor_Energy*'PPA Assumptions &amp;Summary'!J7/12</f>
        <v>13.051640000000001</v>
      </c>
      <c r="K20" s="363">
        <f>K17*Cap_Factor_Energy*'PPA Assumptions &amp;Summary'!K7/12</f>
        <v>13.051640000000001</v>
      </c>
      <c r="L20" s="363">
        <f>L17*Cap_Factor_Energy*'PPA Assumptions &amp;Summary'!L7/12</f>
        <v>13.051640000000001</v>
      </c>
      <c r="M20" s="363">
        <f>M17*Cap_Factor_Energy*'PPA Assumptions &amp;Summary'!M7/12</f>
        <v>13.051640000000001</v>
      </c>
      <c r="N20" s="363">
        <f>N17*Cap_Factor_Energy*'PPA Assumptions &amp;Summary'!N7/12</f>
        <v>13.051640000000001</v>
      </c>
      <c r="O20" s="363">
        <f>O17*Cap_Factor_Energy*'PPA Assumptions &amp;Summary'!O7/12</f>
        <v>13.051640000000001</v>
      </c>
      <c r="P20" s="363">
        <f>P17*Cap_Factor_Energy*'PPA Assumptions &amp;Summary'!P7/12</f>
        <v>13.051640000000001</v>
      </c>
      <c r="Q20" s="363">
        <f>Q17*Cap_Factor_Energy*'PPA Assumptions &amp;Summary'!Q7/12</f>
        <v>13.051640000000001</v>
      </c>
      <c r="R20" s="363">
        <f>R17*Cap_Factor_Energy*'PPA Assumptions &amp;Summary'!R7/12</f>
        <v>13.051640000000001</v>
      </c>
      <c r="S20" s="363">
        <f>S17*Cap_Factor_Energy*'PPA Assumptions &amp;Summary'!S7/12</f>
        <v>13.051640000000001</v>
      </c>
      <c r="T20" s="363">
        <f>T17*Cap_Factor_Energy*'PPA Assumptions &amp;Summary'!T7/12</f>
        <v>13.051640000000001</v>
      </c>
      <c r="U20" s="363">
        <f>U17*Cap_Factor_Energy*'PPA Assumptions &amp;Summary'!U7/12</f>
        <v>13.051640000000001</v>
      </c>
      <c r="V20" s="363">
        <f>V17*Cap_Factor_Energy*'PPA Assumptions &amp;Summary'!V7/12</f>
        <v>13.051640000000001</v>
      </c>
      <c r="W20" s="397">
        <f>W17*Cap_Factor_Energy*'PPA Assumptions &amp;Summary'!W7/12</f>
        <v>5.4381833333333338</v>
      </c>
      <c r="X20" s="401"/>
      <c r="Y20" s="401"/>
      <c r="Z20" s="401"/>
      <c r="AA20" s="401"/>
    </row>
    <row r="21" spans="1:27" s="36" customFormat="1" ht="12.6" customHeight="1">
      <c r="A21" s="359" t="s">
        <v>89</v>
      </c>
      <c r="B21" s="346"/>
      <c r="C21" s="388">
        <f>IF(C3&gt;'Project Assumptions'!$I$15+1,0,'Project Assumptions'!$G$14)</f>
        <v>1200</v>
      </c>
      <c r="D21" s="388">
        <f>IF(D3&gt;'Project Assumptions'!$I$15+1,0,'Project Assumptions'!$G$14)</f>
        <v>1200</v>
      </c>
      <c r="E21" s="388">
        <f>IF(E3&gt;'Project Assumptions'!$I$15+1,0,'Project Assumptions'!$G$14)</f>
        <v>1200</v>
      </c>
      <c r="F21" s="388">
        <f>IF(F3&gt;'Project Assumptions'!$I$15+1,0,'Project Assumptions'!$G$14)</f>
        <v>1200</v>
      </c>
      <c r="G21" s="388">
        <f>IF(G3&gt;'Project Assumptions'!$I$15+1,0,'Project Assumptions'!$G$14)</f>
        <v>1200</v>
      </c>
      <c r="H21" s="388">
        <f>IF(H3&gt;'Project Assumptions'!$I$15+1,0,'Project Assumptions'!$G$14)</f>
        <v>1200</v>
      </c>
      <c r="I21" s="388">
        <f>IF(I3&gt;'Project Assumptions'!$I$15+1,0,'Project Assumptions'!$G$14)</f>
        <v>1200</v>
      </c>
      <c r="J21" s="388">
        <f>IF(J3&gt;'Project Assumptions'!$I$15+1,0,'Project Assumptions'!$G$14)</f>
        <v>1200</v>
      </c>
      <c r="K21" s="388">
        <f>IF(K3&gt;'Project Assumptions'!$I$15+1,0,'Project Assumptions'!$G$14)</f>
        <v>1200</v>
      </c>
      <c r="L21" s="388">
        <f>IF(L3&gt;'Project Assumptions'!$I$15+1,0,'Project Assumptions'!$G$14)</f>
        <v>1200</v>
      </c>
      <c r="M21" s="388">
        <f>IF(M3&gt;'Project Assumptions'!$I$15+1,0,'Project Assumptions'!$G$14)</f>
        <v>1200</v>
      </c>
      <c r="N21" s="388">
        <f>IF(N3&gt;'Project Assumptions'!$I$15+1,0,'Project Assumptions'!$G$14)</f>
        <v>1200</v>
      </c>
      <c r="O21" s="388">
        <f>IF(O3&gt;'Project Assumptions'!$I$15+1,0,'Project Assumptions'!$G$14)</f>
        <v>1200</v>
      </c>
      <c r="P21" s="388">
        <f>IF(P3&gt;'Project Assumptions'!$I$15+1,0,'Project Assumptions'!$G$14)</f>
        <v>1200</v>
      </c>
      <c r="Q21" s="388">
        <f>IF(Q3&gt;'Project Assumptions'!$I$15+1,0,'Project Assumptions'!$G$14)</f>
        <v>1200</v>
      </c>
      <c r="R21" s="388">
        <f>IF(R3&gt;'Project Assumptions'!$I$15+1,0,'Project Assumptions'!$G$14)</f>
        <v>1200</v>
      </c>
      <c r="S21" s="388">
        <f>IF(S3&gt;'Project Assumptions'!$I$15+1,0,'Project Assumptions'!$G$14)</f>
        <v>1200</v>
      </c>
      <c r="T21" s="388">
        <f>IF(T3&gt;'Project Assumptions'!$I$15+1,0,'Project Assumptions'!$G$14)</f>
        <v>1200</v>
      </c>
      <c r="U21" s="388">
        <f>IF(U3&gt;'Project Assumptions'!$I$15+1,0,'Project Assumptions'!$G$14)</f>
        <v>1200</v>
      </c>
      <c r="V21" s="388">
        <f>IF(V3&gt;'Project Assumptions'!$I$15+1,0,'Project Assumptions'!$G$14)</f>
        <v>1200</v>
      </c>
      <c r="W21" s="389">
        <f>IF(W3&gt;'Project Assumptions'!$I$15+1,0,'Project Assumptions'!$G$14)</f>
        <v>1200</v>
      </c>
      <c r="X21" s="401"/>
      <c r="Y21" s="401"/>
      <c r="Z21" s="401"/>
      <c r="AA21" s="401"/>
    </row>
    <row r="22" spans="1:27" s="36" customFormat="1" ht="12.6" customHeight="1">
      <c r="A22" s="781" t="s">
        <v>138</v>
      </c>
      <c r="B22" s="371"/>
      <c r="C22" s="782">
        <f>IF(C3&gt;'Project Assumptions'!$I$15+1,0,C21*(C19+C20))</f>
        <v>0</v>
      </c>
      <c r="D22" s="782">
        <f>IF(D3&gt;'Project Assumptions'!$I$15+1,0,D21*(D19+D20))</f>
        <v>0</v>
      </c>
      <c r="E22" s="782">
        <f>IF(E3&gt;'Project Assumptions'!$I$15+1,0,E21*(E19+E20))</f>
        <v>0</v>
      </c>
      <c r="F22" s="782">
        <f>IF(F3&gt;'Project Assumptions'!$I$15+1,0,F21*(F19+F20))</f>
        <v>460614.1283333333</v>
      </c>
      <c r="G22" s="782">
        <f>IF(G3&gt;'Project Assumptions'!$I$15+1,0,G21*(G19+G20))</f>
        <v>783098.4</v>
      </c>
      <c r="H22" s="782">
        <f>IF(H3&gt;'Project Assumptions'!$I$15+1,0,H21*(H19+H20))</f>
        <v>783098.4</v>
      </c>
      <c r="I22" s="782">
        <f>IF(I3&gt;'Project Assumptions'!$I$15+1,0,I21*(I19+I20))</f>
        <v>783098.4</v>
      </c>
      <c r="J22" s="782">
        <f>IF(J3&gt;'Project Assumptions'!$I$15+1,0,J21*(J19+J20))</f>
        <v>783098.4</v>
      </c>
      <c r="K22" s="782">
        <f>IF(K3&gt;'Project Assumptions'!$I$15+1,0,K21*(K19+K20))</f>
        <v>783098.4</v>
      </c>
      <c r="L22" s="782">
        <f>IF(L3&gt;'Project Assumptions'!$I$15+1,0,L21*(L19+L20))</f>
        <v>783098.4</v>
      </c>
      <c r="M22" s="782">
        <f>IF(M3&gt;'Project Assumptions'!$I$15+1,0,M21*(M19+M20))</f>
        <v>783098.4</v>
      </c>
      <c r="N22" s="782">
        <f>IF(N3&gt;'Project Assumptions'!$I$15+1,0,N21*(N19+N20))</f>
        <v>783098.4</v>
      </c>
      <c r="O22" s="782">
        <f>IF(O3&gt;'Project Assumptions'!$I$15+1,0,O21*(O19+O20))</f>
        <v>783098.4</v>
      </c>
      <c r="P22" s="782">
        <f>IF(P3&gt;'Project Assumptions'!$I$15+1,0,P21*(P19+P20))</f>
        <v>783098.4</v>
      </c>
      <c r="Q22" s="782">
        <f>IF(Q3&gt;'Project Assumptions'!$I$15+1,0,Q21*(Q19+Q20))</f>
        <v>783098.4</v>
      </c>
      <c r="R22" s="782">
        <f>IF(R3&gt;'Project Assumptions'!$I$15+1,0,R21*(R19+R20))</f>
        <v>783098.4</v>
      </c>
      <c r="S22" s="782">
        <f>IF(S3&gt;'Project Assumptions'!$I$15+1,0,S21*(S19+S20))</f>
        <v>783098.4</v>
      </c>
      <c r="T22" s="782">
        <f>IF(T3&gt;'Project Assumptions'!$I$15+1,0,T21*(T19+T20))</f>
        <v>783098.4</v>
      </c>
      <c r="U22" s="782">
        <f>IF(U3&gt;'Project Assumptions'!$I$15+1,0,U21*(U19+U20))</f>
        <v>783098.4</v>
      </c>
      <c r="V22" s="782">
        <f>IF(V3&gt;'Project Assumptions'!$I$15+1,0,V21*(V19+V20))</f>
        <v>783098.4</v>
      </c>
      <c r="W22" s="1029">
        <f>IF(W3&gt;'Project Assumptions'!$I$15+1,0,W21*(W19+W20))</f>
        <v>330097.72833333327</v>
      </c>
      <c r="X22" s="401"/>
      <c r="Y22" s="401"/>
      <c r="Z22" s="401"/>
      <c r="AA22" s="401"/>
    </row>
    <row r="23" spans="1:27" s="36" customFormat="1" ht="12.6" customHeight="1">
      <c r="A23" s="377"/>
      <c r="C23" s="353"/>
      <c r="D23" s="353"/>
      <c r="E23" s="353"/>
      <c r="F23" s="353"/>
      <c r="G23" s="353"/>
      <c r="H23" s="353"/>
      <c r="I23" s="353"/>
      <c r="J23" s="353"/>
      <c r="K23" s="353"/>
      <c r="L23" s="353"/>
      <c r="M23" s="353"/>
      <c r="N23" s="353"/>
      <c r="O23" s="353"/>
      <c r="P23" s="353"/>
      <c r="Q23" s="353"/>
      <c r="R23" s="353"/>
      <c r="S23" s="353"/>
      <c r="T23" s="353"/>
      <c r="U23" s="353"/>
      <c r="V23" s="353"/>
      <c r="W23" s="353"/>
      <c r="X23" s="353"/>
      <c r="Y23" s="353"/>
      <c r="Z23" s="353"/>
      <c r="AA23" s="353"/>
    </row>
    <row r="24" spans="1:27" s="36" customFormat="1" ht="15.75">
      <c r="A24" s="675" t="s">
        <v>165</v>
      </c>
      <c r="B24" s="343"/>
      <c r="C24" s="395"/>
      <c r="D24" s="395"/>
      <c r="E24" s="395"/>
      <c r="F24" s="395"/>
      <c r="G24" s="395"/>
      <c r="H24" s="395"/>
      <c r="I24" s="395"/>
      <c r="J24" s="395"/>
      <c r="K24" s="395"/>
      <c r="L24" s="395"/>
      <c r="M24" s="395"/>
      <c r="N24" s="395"/>
      <c r="O24" s="395"/>
      <c r="P24" s="395"/>
      <c r="Q24" s="395"/>
      <c r="R24" s="395"/>
      <c r="S24" s="395"/>
      <c r="T24" s="395"/>
      <c r="U24" s="395"/>
      <c r="V24" s="395"/>
      <c r="W24" s="396"/>
      <c r="X24" s="783"/>
      <c r="Y24" s="783"/>
      <c r="Z24" s="783"/>
      <c r="AA24" s="783"/>
    </row>
    <row r="25" spans="1:27" s="34" customFormat="1" ht="12.6" customHeight="1">
      <c r="A25" s="420" t="s">
        <v>161</v>
      </c>
      <c r="B25" s="33"/>
      <c r="C25" s="310">
        <f>IF(C3&lt;=ProjectLife+1,IF('Project Assumptions'!$C$68="Assumed",NetMW*AnnualHours,0),0)</f>
        <v>729600</v>
      </c>
      <c r="D25" s="310">
        <f>IF(D3&lt;=ProjectLife+1,IF('Project Assumptions'!$C$68="Assumed",NetMW*AnnualHours*'PPA Assumptions &amp;Summary'!D6/12,0),0)</f>
        <v>729600</v>
      </c>
      <c r="E25" s="310">
        <f>IF(E3&lt;=ProjectLife+1,IF('Project Assumptions'!$C$68="Assumed",NetMW*AnnualHours*'PPA Assumptions &amp;Summary'!E6/12,0),0)</f>
        <v>729600</v>
      </c>
      <c r="F25" s="310">
        <f>IF(F3&lt;=ProjectLife+1,IF('Project Assumptions'!$C$68="Assumed",NetMW*AnnualHours*'PPA Assumptions &amp;Summary'!F6/12,0),0)</f>
        <v>304000</v>
      </c>
      <c r="G25" s="310">
        <f>IF(G3&lt;=ProjectLife+1,IF('Project Assumptions'!$C$68="Assumed",NetMW*AnnualHours*'PPA Assumptions &amp;Summary'!G6/12,0),0)</f>
        <v>0</v>
      </c>
      <c r="H25" s="310">
        <f>IF(H3&lt;=ProjectLife+1,IF('Project Assumptions'!$C$68="Assumed",NetMW*AnnualHours*'PPA Assumptions &amp;Summary'!H6/12,0),0)</f>
        <v>0</v>
      </c>
      <c r="I25" s="310">
        <f>IF(I3&lt;=ProjectLife+1,IF('Project Assumptions'!$C$68="Assumed",NetMW*AnnualHours*'PPA Assumptions &amp;Summary'!I6/12,0),0)</f>
        <v>0</v>
      </c>
      <c r="J25" s="310">
        <f>IF(J3&lt;=ProjectLife+1,IF('Project Assumptions'!$C$68="Assumed",NetMW*AnnualHours*'PPA Assumptions &amp;Summary'!J6/12,0),0)</f>
        <v>0</v>
      </c>
      <c r="K25" s="310">
        <f>IF(K3&lt;=ProjectLife+1,IF('Project Assumptions'!$C$68="Assumed",NetMW*AnnualHours*'PPA Assumptions &amp;Summary'!K6/12,0),0)</f>
        <v>0</v>
      </c>
      <c r="L25" s="310">
        <f>IF(L3&lt;=ProjectLife+1,IF('Project Assumptions'!$C$68="Assumed",NetMW*AnnualHours*'PPA Assumptions &amp;Summary'!L6/12,0),0)</f>
        <v>0</v>
      </c>
      <c r="M25" s="310">
        <f>IF(M3&lt;=ProjectLife+1,IF('Project Assumptions'!$C$68="Assumed",NetMW*AnnualHours*'PPA Assumptions &amp;Summary'!M6/12,0),0)</f>
        <v>0</v>
      </c>
      <c r="N25" s="310">
        <f>IF(N3&lt;=ProjectLife+1,IF('Project Assumptions'!$C$68="Assumed",NetMW*AnnualHours*'PPA Assumptions &amp;Summary'!N6/12,0),0)</f>
        <v>0</v>
      </c>
      <c r="O25" s="310">
        <f>IF(O3&lt;=ProjectLife+1,IF('Project Assumptions'!$C$68="Assumed",NetMW*AnnualHours*'PPA Assumptions &amp;Summary'!O6/12,0),0)</f>
        <v>0</v>
      </c>
      <c r="P25" s="310">
        <f>IF(P3&lt;=ProjectLife+1,IF('Project Assumptions'!$C$68="Assumed",NetMW*AnnualHours*'PPA Assumptions &amp;Summary'!P6/12,0),0)</f>
        <v>0</v>
      </c>
      <c r="Q25" s="310">
        <f>IF(Q3&lt;=ProjectLife+1,IF('Project Assumptions'!$C$68="Assumed",NetMW*AnnualHours*'PPA Assumptions &amp;Summary'!Q6/12,0),0)</f>
        <v>0</v>
      </c>
      <c r="R25" s="310">
        <f>IF(R3&lt;=ProjectLife+1,IF('Project Assumptions'!$C$68="Assumed",NetMW*AnnualHours*'PPA Assumptions &amp;Summary'!R6/12,0),0)</f>
        <v>0</v>
      </c>
      <c r="S25" s="310">
        <f>IF(S3&lt;=ProjectLife+1,IF('Project Assumptions'!$C$68="Assumed",NetMW*AnnualHours*'PPA Assumptions &amp;Summary'!S6/12,0),0)</f>
        <v>0</v>
      </c>
      <c r="T25" s="310">
        <f>IF(T3&lt;=ProjectLife+1,IF('Project Assumptions'!$C$68="Assumed",NetMW*AnnualHours*'PPA Assumptions &amp;Summary'!T6/12,0),0)</f>
        <v>0</v>
      </c>
      <c r="U25" s="310">
        <f>IF(U3&lt;=ProjectLife+1,IF('Project Assumptions'!$C$68="Assumed",NetMW*AnnualHours*'PPA Assumptions &amp;Summary'!U6/12,0),0)</f>
        <v>0</v>
      </c>
      <c r="V25" s="310">
        <f>IF(V3&lt;=ProjectLife+1,IF('Project Assumptions'!$C$68="Assumed",NetMW*AnnualHours*'PPA Assumptions &amp;Summary'!V6/12,0),0)</f>
        <v>0</v>
      </c>
      <c r="W25" s="311">
        <f>IF(W3&lt;=ProjectLife+1,IF('Project Assumptions'!$C$68="Assumed",NetMW*AnnualHours*'PPA Assumptions &amp;Summary'!W6/12,0),0)</f>
        <v>0</v>
      </c>
      <c r="X25" s="784"/>
      <c r="Y25" s="784"/>
      <c r="Z25" s="784"/>
      <c r="AA25" s="784"/>
    </row>
    <row r="26" spans="1:27" s="34" customFormat="1" ht="12.6" customHeight="1">
      <c r="A26" s="420" t="s">
        <v>162</v>
      </c>
      <c r="B26" s="33"/>
      <c r="C26" s="678">
        <f>IF(C3&gt;'Project Assumptions'!$I$15+1,0,C25/C30)</f>
        <v>1</v>
      </c>
      <c r="D26" s="678">
        <f>IF(D3&gt;'Project Assumptions'!$I$15+1,0,D25/D30)</f>
        <v>1</v>
      </c>
      <c r="E26" s="678">
        <f>IF(E3&gt;'Project Assumptions'!$I$15+1,0,E25/E30)</f>
        <v>1</v>
      </c>
      <c r="F26" s="678">
        <f>IF(F3&gt;'Project Assumptions'!$I$15+1,0,F25/F30)</f>
        <v>0.39758616632240845</v>
      </c>
      <c r="G26" s="678">
        <f>IF(G3&gt;'Project Assumptions'!$I$15+1,0,G25/G30)</f>
        <v>0</v>
      </c>
      <c r="H26" s="678">
        <f>IF(H3&gt;'Project Assumptions'!$I$15+1,0,H25/H30)</f>
        <v>0</v>
      </c>
      <c r="I26" s="678">
        <f>IF(I3&gt;'Project Assumptions'!$I$15+1,0,I25/I30)</f>
        <v>0</v>
      </c>
      <c r="J26" s="678">
        <f>IF(J3&gt;'Project Assumptions'!$I$15+1,0,J25/J30)</f>
        <v>0</v>
      </c>
      <c r="K26" s="678">
        <f>IF(K3&gt;'Project Assumptions'!$I$15+1,0,K25/K30)</f>
        <v>0</v>
      </c>
      <c r="L26" s="678">
        <f>IF(L3&gt;'Project Assumptions'!$I$15+1,0,L25/L30)</f>
        <v>0</v>
      </c>
      <c r="M26" s="678">
        <f>IF(M3&gt;'Project Assumptions'!$I$15+1,0,M25/M30)</f>
        <v>0</v>
      </c>
      <c r="N26" s="678">
        <f>IF(N3&gt;'Project Assumptions'!$I$15+1,0,N25/N30)</f>
        <v>0</v>
      </c>
      <c r="O26" s="678">
        <f>IF(O3&gt;'Project Assumptions'!$I$15+1,0,O25/O30)</f>
        <v>0</v>
      </c>
      <c r="P26" s="678">
        <f>IF(P3&gt;'Project Assumptions'!$I$15+1,0,P25/P30)</f>
        <v>0</v>
      </c>
      <c r="Q26" s="678">
        <f>IF(Q3&gt;'Project Assumptions'!$I$15+1,0,Q25/Q30)</f>
        <v>0</v>
      </c>
      <c r="R26" s="678">
        <f>IF(R3&gt;'Project Assumptions'!$I$15+1,0,R25/R30)</f>
        <v>0</v>
      </c>
      <c r="S26" s="678">
        <f>IF(S3&gt;'Project Assumptions'!$I$15+1,0,S25/S30)</f>
        <v>0</v>
      </c>
      <c r="T26" s="678">
        <f>IF(T3&gt;'Project Assumptions'!$I$15+1,0,T25/T30)</f>
        <v>0</v>
      </c>
      <c r="U26" s="678">
        <f>IF(U3&gt;'Project Assumptions'!$I$15+1,0,U25/U30)</f>
        <v>0</v>
      </c>
      <c r="V26" s="678">
        <f>IF(V3&gt;'Project Assumptions'!$I$15+1,0,V25/V30)</f>
        <v>0</v>
      </c>
      <c r="W26" s="785">
        <f>IF(W3&gt;'Project Assumptions'!$I$15+1,0,W25/W30)</f>
        <v>0</v>
      </c>
      <c r="X26" s="786"/>
      <c r="Y26" s="786"/>
      <c r="Z26" s="786"/>
      <c r="AA26" s="786"/>
    </row>
    <row r="27" spans="1:27" s="34" customFormat="1" ht="12.6" customHeight="1">
      <c r="A27" s="420" t="s">
        <v>163</v>
      </c>
      <c r="B27" s="33"/>
      <c r="C27" s="310">
        <f>IF(C3&gt;'Project Assumptions'!$I$15+1,0,IF('Project Assumptions'!$C$68="Assumed",C22,0))</f>
        <v>0</v>
      </c>
      <c r="D27" s="310">
        <f>IF(D3&gt;'Project Assumptions'!$I$15+1,0,IF('Project Assumptions'!$C$68="Assumed",D22,0))</f>
        <v>0</v>
      </c>
      <c r="E27" s="310">
        <f>IF(E3&gt;'Project Assumptions'!$I$15+1,0,IF('Project Assumptions'!$C$68="Assumed",E22,0))</f>
        <v>0</v>
      </c>
      <c r="F27" s="310">
        <f>IF(F3&gt;'Project Assumptions'!$I$15+1,0,IF('Project Assumptions'!$C$68="Assumed",F22,0))</f>
        <v>460614.1283333333</v>
      </c>
      <c r="G27" s="310">
        <f>IF(G3&gt;'Project Assumptions'!$I$15+1,0,IF('Project Assumptions'!$C$68="Assumed",G22,0))</f>
        <v>783098.4</v>
      </c>
      <c r="H27" s="310">
        <f>IF(H3&gt;'Project Assumptions'!$I$15+1,0,IF('Project Assumptions'!$C$68="Assumed",H22,0))</f>
        <v>783098.4</v>
      </c>
      <c r="I27" s="310">
        <f>IF(I3&gt;'Project Assumptions'!$I$15+1,0,IF('Project Assumptions'!$C$68="Assumed",I22,0))</f>
        <v>783098.4</v>
      </c>
      <c r="J27" s="310">
        <f>IF(J3&gt;'Project Assumptions'!$I$15+1,0,IF('Project Assumptions'!$C$68="Assumed",J22,0))</f>
        <v>783098.4</v>
      </c>
      <c r="K27" s="310">
        <f>IF(K3&gt;'Project Assumptions'!$I$15+1,0,IF('Project Assumptions'!$C$68="Assumed",K22,0))</f>
        <v>783098.4</v>
      </c>
      <c r="L27" s="310">
        <f>IF(L3&gt;'Project Assumptions'!$I$15+1,0,IF('Project Assumptions'!$C$68="Assumed",L22,0))</f>
        <v>783098.4</v>
      </c>
      <c r="M27" s="310">
        <f>IF(M3&gt;'Project Assumptions'!$I$15+1,0,IF('Project Assumptions'!$C$68="Assumed",M22,0))</f>
        <v>783098.4</v>
      </c>
      <c r="N27" s="310">
        <f>IF(N3&gt;'Project Assumptions'!$I$15+1,0,IF('Project Assumptions'!$C$68="Assumed",N22,0))</f>
        <v>783098.4</v>
      </c>
      <c r="O27" s="310">
        <f>IF(O3&gt;'Project Assumptions'!$I$15+1,0,IF('Project Assumptions'!$C$68="Assumed",O22,0))</f>
        <v>783098.4</v>
      </c>
      <c r="P27" s="310">
        <f>IF(P3&gt;'Project Assumptions'!$I$15+1,0,IF('Project Assumptions'!$C$68="Assumed",P22,0))</f>
        <v>783098.4</v>
      </c>
      <c r="Q27" s="310">
        <f>IF(Q3&gt;'Project Assumptions'!$I$15+1,0,IF('Project Assumptions'!$C$68="Assumed",Q22,0))</f>
        <v>783098.4</v>
      </c>
      <c r="R27" s="310">
        <f>IF(R3&gt;'Project Assumptions'!$I$15+1,0,IF('Project Assumptions'!$C$68="Assumed",R22,0))</f>
        <v>783098.4</v>
      </c>
      <c r="S27" s="310">
        <f>IF(S3&gt;'Project Assumptions'!$I$15+1,0,IF('Project Assumptions'!$C$68="Assumed",S22,0))</f>
        <v>783098.4</v>
      </c>
      <c r="T27" s="310">
        <f>IF(T3&gt;'Project Assumptions'!$I$15+1,0,IF('Project Assumptions'!$C$68="Assumed",T22,0))</f>
        <v>783098.4</v>
      </c>
      <c r="U27" s="310">
        <f>IF(U3&gt;'Project Assumptions'!$I$15+1,0,IF('Project Assumptions'!$C$68="Assumed",U22,0))</f>
        <v>783098.4</v>
      </c>
      <c r="V27" s="310">
        <f>IF(V3&gt;'Project Assumptions'!$I$15+1,0,IF('Project Assumptions'!$C$68="Assumed",V22,0))</f>
        <v>783098.4</v>
      </c>
      <c r="W27" s="311">
        <f>IF(W3&gt;'Project Assumptions'!$I$15+1,0,IF('Project Assumptions'!$C$68="Assumed",W22,0))</f>
        <v>330097.72833333327</v>
      </c>
      <c r="X27" s="31"/>
      <c r="Y27" s="31"/>
      <c r="Z27" s="31"/>
      <c r="AA27" s="31"/>
    </row>
    <row r="28" spans="1:27" s="34" customFormat="1" ht="12.6" customHeight="1">
      <c r="A28" s="420" t="s">
        <v>162</v>
      </c>
      <c r="B28" s="33"/>
      <c r="C28" s="787">
        <f>IF(C3&gt;'Project Assumptions'!$I$15+1,0,C27/C30)</f>
        <v>0</v>
      </c>
      <c r="D28" s="787">
        <f>IF(D3&gt;'Project Assumptions'!$I$15+1,0,D27/D30)</f>
        <v>0</v>
      </c>
      <c r="E28" s="787">
        <f>IF(E3&gt;'Project Assumptions'!$I$15+1,0,E27/E30)</f>
        <v>0</v>
      </c>
      <c r="F28" s="787">
        <f>IF(F3&gt;'Project Assumptions'!$I$15+1,0,F27/F30)</f>
        <v>0.6024138336775916</v>
      </c>
      <c r="G28" s="787">
        <f>IF(G3&gt;'Project Assumptions'!$I$15+1,0,G27/G30)</f>
        <v>1</v>
      </c>
      <c r="H28" s="787">
        <f>IF(H3&gt;'Project Assumptions'!$I$15+1,0,H27/H30)</f>
        <v>1</v>
      </c>
      <c r="I28" s="787">
        <f>IF(I3&gt;'Project Assumptions'!$I$15+1,0,I27/I30)</f>
        <v>1</v>
      </c>
      <c r="J28" s="787">
        <f>IF(J3&gt;'Project Assumptions'!$I$15+1,0,J27/J30)</f>
        <v>1</v>
      </c>
      <c r="K28" s="787">
        <f>IF(K3&gt;'Project Assumptions'!$I$15+1,0,K27/K30)</f>
        <v>1</v>
      </c>
      <c r="L28" s="787">
        <f>IF(L3&gt;'Project Assumptions'!$I$15+1,0,L27/L30)</f>
        <v>1</v>
      </c>
      <c r="M28" s="787">
        <f>IF(M3&gt;'Project Assumptions'!$I$15+1,0,M27/M30)</f>
        <v>1</v>
      </c>
      <c r="N28" s="787">
        <f>IF(N3&gt;'Project Assumptions'!$I$15+1,0,N27/N30)</f>
        <v>1</v>
      </c>
      <c r="O28" s="787">
        <f>IF(O3&gt;'Project Assumptions'!$I$15+1,0,O27/O30)</f>
        <v>1</v>
      </c>
      <c r="P28" s="787">
        <f>IF(P3&gt;'Project Assumptions'!$I$15+1,0,P27/P30)</f>
        <v>1</v>
      </c>
      <c r="Q28" s="787">
        <f>IF(Q3&gt;'Project Assumptions'!$I$15+1,0,Q27/Q30)</f>
        <v>1</v>
      </c>
      <c r="R28" s="787">
        <f>IF(R3&gt;'Project Assumptions'!$I$15+1,0,R27/R30)</f>
        <v>1</v>
      </c>
      <c r="S28" s="787">
        <f>IF(S3&gt;'Project Assumptions'!$I$15+1,0,S27/S30)</f>
        <v>1</v>
      </c>
      <c r="T28" s="787">
        <f>IF(T3&gt;'Project Assumptions'!$I$15+1,0,T27/T30)</f>
        <v>1</v>
      </c>
      <c r="U28" s="787">
        <f>IF(U3&gt;'Project Assumptions'!$I$15+1,0,U27/U30)</f>
        <v>1</v>
      </c>
      <c r="V28" s="787">
        <f>IF(V3&gt;'Project Assumptions'!$I$15+1,0,V27/V30)</f>
        <v>1</v>
      </c>
      <c r="W28" s="788">
        <f>IF(W3&gt;'Project Assumptions'!$I$15+1,0,W27/W30)</f>
        <v>1</v>
      </c>
      <c r="X28" s="789"/>
      <c r="Y28" s="789"/>
      <c r="Z28" s="789"/>
      <c r="AA28" s="789"/>
    </row>
    <row r="29" spans="1:27" s="36" customFormat="1" ht="12.6" customHeight="1">
      <c r="A29" s="359"/>
      <c r="B29" s="346"/>
      <c r="C29" s="360"/>
      <c r="D29" s="360"/>
      <c r="E29" s="360"/>
      <c r="F29" s="360"/>
      <c r="G29" s="360"/>
      <c r="H29" s="360"/>
      <c r="I29" s="360"/>
      <c r="J29" s="360"/>
      <c r="K29" s="360"/>
      <c r="L29" s="360"/>
      <c r="M29" s="360"/>
      <c r="N29" s="360"/>
      <c r="O29" s="360"/>
      <c r="P29" s="360"/>
      <c r="Q29" s="360"/>
      <c r="R29" s="360"/>
      <c r="S29" s="360"/>
      <c r="T29" s="360"/>
      <c r="U29" s="360"/>
      <c r="V29" s="360"/>
      <c r="W29" s="361"/>
      <c r="X29" s="401"/>
      <c r="Y29" s="401"/>
      <c r="Z29" s="401"/>
      <c r="AA29" s="401"/>
    </row>
    <row r="30" spans="1:27" s="34" customFormat="1" ht="12.6" customHeight="1">
      <c r="A30" s="420" t="s">
        <v>159</v>
      </c>
      <c r="B30" s="33"/>
      <c r="C30" s="310">
        <f>IF(C3&gt;'Project Assumptions'!$I$15+1,0,IF('Project Assumptions'!$C$68="Assumed",C25+C27,C25+C27))</f>
        <v>729600</v>
      </c>
      <c r="D30" s="310">
        <f>IF(D3&gt;'Project Assumptions'!$I$15+1,0,IF('Project Assumptions'!$C$68="Assumed",D25+D27,D25+D27))</f>
        <v>729600</v>
      </c>
      <c r="E30" s="310">
        <f>IF(E3&gt;'Project Assumptions'!$I$15+1,0,IF('Project Assumptions'!$C$68="Assumed",E25+E27,E25+E27))</f>
        <v>729600</v>
      </c>
      <c r="F30" s="310">
        <f>IF(F3&gt;'Project Assumptions'!$I$15+1,0,IF('Project Assumptions'!$C$68="Assumed",F25+F27,F25+F27))</f>
        <v>764614.1283333333</v>
      </c>
      <c r="G30" s="310">
        <f>IF(G3&gt;'Project Assumptions'!$I$15+1,0,IF('Project Assumptions'!$C$68="Assumed",G25+G27,G25+G27))</f>
        <v>783098.4</v>
      </c>
      <c r="H30" s="310">
        <f>IF(H3&gt;'Project Assumptions'!$I$15+1,0,IF('Project Assumptions'!$C$68="Assumed",H25+H27,H25+H27))</f>
        <v>783098.4</v>
      </c>
      <c r="I30" s="310">
        <f>IF(I3&gt;'Project Assumptions'!$I$15+1,0,IF('Project Assumptions'!$C$68="Assumed",I25+I27,I25+I27))</f>
        <v>783098.4</v>
      </c>
      <c r="J30" s="310">
        <f>IF(J3&gt;'Project Assumptions'!$I$15+1,0,IF('Project Assumptions'!$C$68="Assumed",J25+J27,J25+J27))</f>
        <v>783098.4</v>
      </c>
      <c r="K30" s="310">
        <f>IF(K3&gt;'Project Assumptions'!$I$15+1,0,IF('Project Assumptions'!$C$68="Assumed",K25+K27,K25+K27))</f>
        <v>783098.4</v>
      </c>
      <c r="L30" s="310">
        <f>IF(L3&gt;'Project Assumptions'!$I$15+1,0,IF('Project Assumptions'!$C$68="Assumed",L25+L27,L25+L27))</f>
        <v>783098.4</v>
      </c>
      <c r="M30" s="310">
        <f>IF(M3&gt;'Project Assumptions'!$I$15+1,0,IF('Project Assumptions'!$C$68="Assumed",M25+M27,M25+M27))</f>
        <v>783098.4</v>
      </c>
      <c r="N30" s="310">
        <f>IF(N3&gt;'Project Assumptions'!$I$15+1,0,IF('Project Assumptions'!$C$68="Assumed",N25+N27,N25+N27))</f>
        <v>783098.4</v>
      </c>
      <c r="O30" s="310">
        <f>IF(O3&gt;'Project Assumptions'!$I$15+1,0,IF('Project Assumptions'!$C$68="Assumed",O25+O27,O25+O27))</f>
        <v>783098.4</v>
      </c>
      <c r="P30" s="310">
        <f>IF(P3&gt;'Project Assumptions'!$I$15+1,0,IF('Project Assumptions'!$C$68="Assumed",P25+P27,P25+P27))</f>
        <v>783098.4</v>
      </c>
      <c r="Q30" s="310">
        <f>IF(Q3&gt;'Project Assumptions'!$I$15+1,0,IF('Project Assumptions'!$C$68="Assumed",Q25+Q27,Q25+Q27))</f>
        <v>783098.4</v>
      </c>
      <c r="R30" s="310">
        <f>IF(R3&gt;'Project Assumptions'!$I$15+1,0,IF('Project Assumptions'!$C$68="Assumed",R25+R27,R25+R27))</f>
        <v>783098.4</v>
      </c>
      <c r="S30" s="310">
        <f>IF(S3&gt;'Project Assumptions'!$I$15+1,0,IF('Project Assumptions'!$C$68="Assumed",S25+S27,S25+S27))</f>
        <v>783098.4</v>
      </c>
      <c r="T30" s="310">
        <f>IF(T3&gt;'Project Assumptions'!$I$15+1,0,IF('Project Assumptions'!$C$68="Assumed",T25+T27,T25+T27))</f>
        <v>783098.4</v>
      </c>
      <c r="U30" s="310">
        <f>IF(U3&gt;'Project Assumptions'!$I$15+1,0,IF('Project Assumptions'!$C$68="Assumed",U25+U27,U25+U27))</f>
        <v>783098.4</v>
      </c>
      <c r="V30" s="310">
        <f>IF(V3&gt;'Project Assumptions'!$I$15+1,0,IF('Project Assumptions'!$C$68="Assumed",V25+V27,V25+V27))</f>
        <v>783098.4</v>
      </c>
      <c r="W30" s="311">
        <f>IF(W3&gt;'Project Assumptions'!$I$15+1,0,IF('Project Assumptions'!$C$68="Assumed",W25+W27,W25+W27))</f>
        <v>330097.72833333327</v>
      </c>
      <c r="X30" s="31"/>
      <c r="Y30" s="31"/>
      <c r="Z30" s="31"/>
      <c r="AA30" s="31"/>
    </row>
    <row r="31" spans="1:27" s="34" customFormat="1" ht="12.6" customHeight="1">
      <c r="A31" s="420" t="s">
        <v>110</v>
      </c>
      <c r="B31" s="33"/>
      <c r="C31" s="678">
        <f>IF(C3&gt;'Project Assumptions'!$I$15+1,0,C26+C28)</f>
        <v>1</v>
      </c>
      <c r="D31" s="678">
        <f>IF(D3&gt;'Project Assumptions'!$I$15+1,0,D26+D28)</f>
        <v>1</v>
      </c>
      <c r="E31" s="678">
        <f>IF(E3&gt;'Project Assumptions'!$I$15+1,0,E26+E28)</f>
        <v>1</v>
      </c>
      <c r="F31" s="678">
        <f>IF(F3&gt;'Project Assumptions'!$I$15+1,0,F26+F28)</f>
        <v>1</v>
      </c>
      <c r="G31" s="678">
        <f>IF(G3&gt;'Project Assumptions'!$I$15+1,0,G26+G28)</f>
        <v>1</v>
      </c>
      <c r="H31" s="678">
        <f>IF(H3&gt;'Project Assumptions'!$I$15+1,0,H26+H28)</f>
        <v>1</v>
      </c>
      <c r="I31" s="678">
        <f>IF(I3&gt;'Project Assumptions'!$I$15+1,0,I26+I28)</f>
        <v>1</v>
      </c>
      <c r="J31" s="678">
        <f>IF(J3&gt;'Project Assumptions'!$I$15+1,0,J26+J28)</f>
        <v>1</v>
      </c>
      <c r="K31" s="678">
        <f>IF(K3&gt;'Project Assumptions'!$I$15+1,0,K26+K28)</f>
        <v>1</v>
      </c>
      <c r="L31" s="678">
        <f>IF(L3&gt;'Project Assumptions'!$I$15+1,0,L26+L28)</f>
        <v>1</v>
      </c>
      <c r="M31" s="678">
        <f>IF(M3&gt;'Project Assumptions'!$I$15+1,0,M26+M28)</f>
        <v>1</v>
      </c>
      <c r="N31" s="678">
        <f>IF(N3&gt;'Project Assumptions'!$I$15+1,0,N26+N28)</f>
        <v>1</v>
      </c>
      <c r="O31" s="678">
        <f>IF(O3&gt;'Project Assumptions'!$I$15+1,0,O26+O28)</f>
        <v>1</v>
      </c>
      <c r="P31" s="678">
        <f>IF(P3&gt;'Project Assumptions'!$I$15+1,0,P26+P28)</f>
        <v>1</v>
      </c>
      <c r="Q31" s="678">
        <f>IF(Q3&gt;'Project Assumptions'!$I$15+1,0,Q26+Q28)</f>
        <v>1</v>
      </c>
      <c r="R31" s="678">
        <f>IF(R3&gt;'Project Assumptions'!$I$15+1,0,R26+R28)</f>
        <v>1</v>
      </c>
      <c r="S31" s="678">
        <f>IF(S3&gt;'Project Assumptions'!$I$15+1,0,S26+S28)</f>
        <v>1</v>
      </c>
      <c r="T31" s="678">
        <f>IF(T3&gt;'Project Assumptions'!$I$15+1,0,T26+T28)</f>
        <v>1</v>
      </c>
      <c r="U31" s="678">
        <f>IF(U3&gt;'Project Assumptions'!$I$15+1,0,U26+U28)</f>
        <v>1</v>
      </c>
      <c r="V31" s="678">
        <f>IF(V3&gt;'Project Assumptions'!$I$15+1,0,V26+V28)</f>
        <v>1</v>
      </c>
      <c r="W31" s="785">
        <f>IF(W3&gt;'Project Assumptions'!$I$15+1,0,W26+W28)</f>
        <v>1</v>
      </c>
      <c r="X31" s="786"/>
      <c r="Y31" s="786"/>
      <c r="Z31" s="786"/>
      <c r="AA31" s="786"/>
    </row>
    <row r="32" spans="1:27" s="36" customFormat="1" ht="12.6" customHeight="1">
      <c r="A32" s="359" t="s">
        <v>160</v>
      </c>
      <c r="B32" s="346"/>
      <c r="C32" s="790">
        <f>IF(C3&gt;'Project Assumptions'!$I$15+1,0,'Project Assumptions'!$I$12*(1+C7))</f>
        <v>11973</v>
      </c>
      <c r="D32" s="790">
        <f>IF(D3&gt;'Project Assumptions'!$I$15+1,0,'Project Assumptions'!$I$12*(1+D7))</f>
        <v>11973</v>
      </c>
      <c r="E32" s="790">
        <f>IF(E3&gt;'Project Assumptions'!$I$15+1,0,'Project Assumptions'!$I$12*(1+E7))</f>
        <v>11973</v>
      </c>
      <c r="F32" s="790">
        <f>IF(F3&gt;'Project Assumptions'!$I$15+1,0,'Project Assumptions'!$I$12*(1+F7))</f>
        <v>11973</v>
      </c>
      <c r="G32" s="790">
        <f>IF(G3&gt;'Project Assumptions'!$I$15+1,0,'Project Assumptions'!$I$12*(1+G7))</f>
        <v>11973</v>
      </c>
      <c r="H32" s="790">
        <f>IF(H3&gt;'Project Assumptions'!$I$15+1,0,'Project Assumptions'!$I$12*(1+H7))</f>
        <v>11973</v>
      </c>
      <c r="I32" s="790">
        <f>IF(I3&gt;'Project Assumptions'!$I$15+1,0,'Project Assumptions'!$I$12*(1+I7))</f>
        <v>11973</v>
      </c>
      <c r="J32" s="790">
        <f>IF(J3&gt;'Project Assumptions'!$I$15+1,0,'Project Assumptions'!$I$12*(1+J7))</f>
        <v>11973</v>
      </c>
      <c r="K32" s="790">
        <f>IF(K3&gt;'Project Assumptions'!$I$15+1,0,'Project Assumptions'!$I$12*(1+K7))</f>
        <v>11973</v>
      </c>
      <c r="L32" s="790">
        <f>IF(L3&gt;'Project Assumptions'!$I$15+1,0,'Project Assumptions'!$I$12*(1+L7))</f>
        <v>11973</v>
      </c>
      <c r="M32" s="790">
        <f>IF(M3&gt;'Project Assumptions'!$I$15+1,0,'Project Assumptions'!$I$12*(1+M7))</f>
        <v>11973</v>
      </c>
      <c r="N32" s="790">
        <f>IF(N3&gt;'Project Assumptions'!$I$15+1,0,'Project Assumptions'!$I$12*(1+N7))</f>
        <v>11973</v>
      </c>
      <c r="O32" s="790">
        <f>IF(O3&gt;'Project Assumptions'!$I$15+1,0,'Project Assumptions'!$I$12*(1+O7))</f>
        <v>11973</v>
      </c>
      <c r="P32" s="790">
        <f>IF(P3&gt;'Project Assumptions'!$I$15+1,0,'Project Assumptions'!$I$12*(1+P7))</f>
        <v>11973</v>
      </c>
      <c r="Q32" s="790">
        <f>IF(Q3&gt;'Project Assumptions'!$I$15+1,0,'Project Assumptions'!$I$12*(1+Q7))</f>
        <v>11973</v>
      </c>
      <c r="R32" s="790">
        <f>IF(R3&gt;'Project Assumptions'!$I$15+1,0,'Project Assumptions'!$I$12*(1+R7))</f>
        <v>11973</v>
      </c>
      <c r="S32" s="790">
        <f>IF(S3&gt;'Project Assumptions'!$I$15+1,0,'Project Assumptions'!$I$12*(1+S7))</f>
        <v>11973</v>
      </c>
      <c r="T32" s="790">
        <f>IF(T3&gt;'Project Assumptions'!$I$15+1,0,'Project Assumptions'!$I$12*(1+T7))</f>
        <v>11973</v>
      </c>
      <c r="U32" s="790">
        <f>IF(U3&gt;'Project Assumptions'!$I$15+1,0,'Project Assumptions'!$I$12*(1+U7))</f>
        <v>11973</v>
      </c>
      <c r="V32" s="790">
        <f>IF(V3&gt;'Project Assumptions'!$I$15+1,0,'Project Assumptions'!$I$12*(1+V7))</f>
        <v>11973</v>
      </c>
      <c r="W32" s="791">
        <f>IF(W3&gt;'Project Assumptions'!$I$15+1,0,'Project Assumptions'!$I$12*(1+W7))</f>
        <v>11973</v>
      </c>
      <c r="X32" s="792"/>
      <c r="Y32" s="792"/>
      <c r="Z32" s="792"/>
      <c r="AA32" s="792"/>
    </row>
    <row r="33" spans="1:29" s="36" customFormat="1" ht="12.6" customHeight="1">
      <c r="A33" s="359" t="s">
        <v>90</v>
      </c>
      <c r="B33" s="346"/>
      <c r="C33" s="360">
        <f>IF(C3&gt;'Project Assumptions'!$I$15+1,0,C32*C30/1000000)</f>
        <v>8735.5007999999998</v>
      </c>
      <c r="D33" s="360">
        <f>IF(D3&gt;'Project Assumptions'!$I$15+1,0,D32*D30/1000000)</f>
        <v>8735.5007999999998</v>
      </c>
      <c r="E33" s="360">
        <f>IF(E3&gt;'Project Assumptions'!$I$15+1,0,E32*E30/1000000)</f>
        <v>8735.5007999999998</v>
      </c>
      <c r="F33" s="360">
        <f>IF(F3&gt;'Project Assumptions'!$I$15+1,0,F32*F30/1000000)</f>
        <v>9154.724958535</v>
      </c>
      <c r="G33" s="360">
        <f>IF(G3&gt;'Project Assumptions'!$I$15+1,0,G32*G30/1000000)</f>
        <v>9376.0371432000011</v>
      </c>
      <c r="H33" s="360">
        <f>IF(H3&gt;'Project Assumptions'!$I$15+1,0,H32*H30/1000000)</f>
        <v>9376.0371432000011</v>
      </c>
      <c r="I33" s="360">
        <f>IF(I3&gt;'Project Assumptions'!$I$15+1,0,I32*I30/1000000)</f>
        <v>9376.0371432000011</v>
      </c>
      <c r="J33" s="360">
        <f>IF(J3&gt;'Project Assumptions'!$I$15+1,0,J32*J30/1000000)</f>
        <v>9376.0371432000011</v>
      </c>
      <c r="K33" s="360">
        <f>IF(K3&gt;'Project Assumptions'!$I$15+1,0,K32*K30/1000000)</f>
        <v>9376.0371432000011</v>
      </c>
      <c r="L33" s="360">
        <f>IF(L3&gt;'Project Assumptions'!$I$15+1,0,L32*L30/1000000)</f>
        <v>9376.0371432000011</v>
      </c>
      <c r="M33" s="360">
        <f>IF(M3&gt;'Project Assumptions'!$I$15+1,0,M32*M30/1000000)</f>
        <v>9376.0371432000011</v>
      </c>
      <c r="N33" s="360">
        <f>IF(N3&gt;'Project Assumptions'!$I$15+1,0,N32*N30/1000000)</f>
        <v>9376.0371432000011</v>
      </c>
      <c r="O33" s="360">
        <f>IF(O3&gt;'Project Assumptions'!$I$15+1,0,O32*O30/1000000)</f>
        <v>9376.0371432000011</v>
      </c>
      <c r="P33" s="360">
        <f>IF(P3&gt;'Project Assumptions'!$I$15+1,0,P32*P30/1000000)</f>
        <v>9376.0371432000011</v>
      </c>
      <c r="Q33" s="360">
        <f>IF(Q3&gt;'Project Assumptions'!$I$15+1,0,Q32*Q30/1000000)</f>
        <v>9376.0371432000011</v>
      </c>
      <c r="R33" s="360">
        <f>IF(R3&gt;'Project Assumptions'!$I$15+1,0,R32*R30/1000000)</f>
        <v>9376.0371432000011</v>
      </c>
      <c r="S33" s="360">
        <f>IF(S3&gt;'Project Assumptions'!$I$15+1,0,S32*S30/1000000)</f>
        <v>9376.0371432000011</v>
      </c>
      <c r="T33" s="360">
        <f>IF(T3&gt;'Project Assumptions'!$I$15+1,0,T32*T30/1000000)</f>
        <v>9376.0371432000011</v>
      </c>
      <c r="U33" s="360">
        <f>IF(U3&gt;'Project Assumptions'!$I$15+1,0,U32*U30/1000000)</f>
        <v>9376.0371432000011</v>
      </c>
      <c r="V33" s="360">
        <f>IF(V3&gt;'Project Assumptions'!$I$15+1,0,V32*V30/1000000)</f>
        <v>9376.0371432000011</v>
      </c>
      <c r="W33" s="361">
        <f>IF(W3&gt;'Project Assumptions'!$I$15+1,0,W32*W30/1000000)</f>
        <v>3952.260101334999</v>
      </c>
      <c r="X33" s="401"/>
      <c r="Y33" s="401"/>
      <c r="Z33" s="401"/>
      <c r="AA33" s="401"/>
    </row>
    <row r="34" spans="1:29" s="36" customFormat="1" ht="12.6" customHeight="1">
      <c r="A34" s="359"/>
      <c r="B34" s="346"/>
      <c r="C34" s="363"/>
      <c r="D34" s="363"/>
      <c r="E34" s="363"/>
      <c r="F34" s="363"/>
      <c r="G34" s="363"/>
      <c r="H34" s="363"/>
      <c r="I34" s="363"/>
      <c r="J34" s="363"/>
      <c r="K34" s="363"/>
      <c r="L34" s="363"/>
      <c r="M34" s="363"/>
      <c r="N34" s="363"/>
      <c r="O34" s="363"/>
      <c r="P34" s="363"/>
      <c r="Q34" s="363"/>
      <c r="R34" s="363"/>
      <c r="S34" s="363"/>
      <c r="T34" s="363"/>
      <c r="U34" s="363"/>
      <c r="V34" s="363"/>
      <c r="W34" s="397"/>
      <c r="X34" s="353"/>
      <c r="Y34" s="353"/>
      <c r="Z34" s="353"/>
      <c r="AA34" s="353"/>
      <c r="AB34" s="353"/>
    </row>
    <row r="35" spans="1:29" s="36" customFormat="1" ht="12.6" customHeight="1">
      <c r="A35" s="359" t="s">
        <v>164</v>
      </c>
      <c r="B35" s="346"/>
      <c r="C35" s="364">
        <f>IF(C3&gt;'Project Assumptions'!$I$15+1,0,IF(AND('Project Assumptions'!$C$69="No",Operations!C3&gt;ProjectLife+1),0,Operations!C$43*C33))</f>
        <v>21838.752</v>
      </c>
      <c r="D35" s="364">
        <f>IF(D3&gt;'Project Assumptions'!$I$15+1,0,IF(AND('Project Assumptions'!$C$69="No",Operations!D3&gt;ProjectLife+1),0,Operations!D$43*D33))</f>
        <v>21838.752</v>
      </c>
      <c r="E35" s="364">
        <f>IF(E3&gt;'Project Assumptions'!$I$15+1,0,IF(AND('Project Assumptions'!$C$69="No",Operations!E3&gt;ProjectLife+1),0,Operations!E$43*E33))</f>
        <v>21838.752</v>
      </c>
      <c r="F35" s="364">
        <f>IF(F3&gt;'Project Assumptions'!$I$15+1,0,IF(AND('Project Assumptions'!$C$69="No",Operations!F3&gt;ProjectLife+1),0,Operations!F$43*F33))</f>
        <v>22886.8123963375</v>
      </c>
      <c r="G35" s="364">
        <f>IF(G3&gt;'Project Assumptions'!$I$15+1,0,IF(AND('Project Assumptions'!$C$69="No",Operations!G3&gt;ProjectLife+1),0,Operations!G$43*G33))</f>
        <v>23440.092858000004</v>
      </c>
      <c r="H35" s="364">
        <f>IF(H3&gt;'Project Assumptions'!$I$15+1,0,IF(AND('Project Assumptions'!$C$69="No",Operations!H3&gt;ProjectLife+1),0,Operations!H$43*H33))</f>
        <v>23440.092858000004</v>
      </c>
      <c r="I35" s="364">
        <f>IF(I3&gt;'Project Assumptions'!$I$15+1,0,IF(AND('Project Assumptions'!$C$69="No",Operations!I3&gt;ProjectLife+1),0,Operations!I$43*I33))</f>
        <v>23440.092858000004</v>
      </c>
      <c r="J35" s="364">
        <f>IF(J3&gt;'Project Assumptions'!$I$15+1,0,IF(AND('Project Assumptions'!$C$69="No",Operations!J3&gt;ProjectLife+1),0,Operations!J$43*J33))</f>
        <v>23440.092858000004</v>
      </c>
      <c r="K35" s="364">
        <f>IF(K3&gt;'Project Assumptions'!$I$15+1,0,IF(AND('Project Assumptions'!$C$69="No",Operations!K3&gt;ProjectLife+1),0,Operations!K$43*K33))</f>
        <v>23440.092858000004</v>
      </c>
      <c r="L35" s="364">
        <f>IF(L3&gt;'Project Assumptions'!$I$15+1,0,IF(AND('Project Assumptions'!$C$69="No",Operations!L3&gt;ProjectLife+1),0,Operations!L$43*L33))</f>
        <v>23440.092858000004</v>
      </c>
      <c r="M35" s="364">
        <f>IF(M3&gt;'Project Assumptions'!$I$15+1,0,IF(AND('Project Assumptions'!$C$69="No",Operations!M3&gt;ProjectLife+1),0,Operations!M$43*M33))</f>
        <v>23440.092858000004</v>
      </c>
      <c r="N35" s="364">
        <f>IF(N3&gt;'Project Assumptions'!$I$15+1,0,IF(AND('Project Assumptions'!$C$69="No",Operations!N3&gt;ProjectLife+1),0,Operations!N$43*N33))</f>
        <v>23440.092858000004</v>
      </c>
      <c r="O35" s="364">
        <f>IF(O3&gt;'Project Assumptions'!$I$15+1,0,IF(AND('Project Assumptions'!$C$69="No",Operations!O3&gt;ProjectLife+1),0,Operations!O$43*O33))</f>
        <v>23440.092858000004</v>
      </c>
      <c r="P35" s="364">
        <f>IF(P3&gt;'Project Assumptions'!$I$15+1,0,IF(AND('Project Assumptions'!$C$69="No",Operations!P3&gt;ProjectLife+1),0,Operations!P$43*P33))</f>
        <v>23440.092858000004</v>
      </c>
      <c r="Q35" s="364">
        <f>IF(Q3&gt;'Project Assumptions'!$I$15+1,0,IF(AND('Project Assumptions'!$C$69="No",Operations!Q3&gt;ProjectLife+1),0,Operations!Q$43*Q33))</f>
        <v>23440.092858000004</v>
      </c>
      <c r="R35" s="364">
        <f>IF(R3&gt;'Project Assumptions'!$I$15+1,0,IF(AND('Project Assumptions'!$C$69="No",Operations!R3&gt;ProjectLife+1),0,Operations!R$43*R33))</f>
        <v>23440.092858000004</v>
      </c>
      <c r="S35" s="364">
        <f>IF(S3&gt;'Project Assumptions'!$I$15+1,0,IF(AND('Project Assumptions'!$C$69="No",Operations!S3&gt;ProjectLife+1),0,Operations!S$43*S33))</f>
        <v>23440.092858000004</v>
      </c>
      <c r="T35" s="364">
        <f>IF(T3&gt;'Project Assumptions'!$I$15+1,0,IF(AND('Project Assumptions'!$C$69="No",Operations!T3&gt;ProjectLife+1),0,Operations!T$43*T33))</f>
        <v>23440.092858000004</v>
      </c>
      <c r="U35" s="364">
        <f>IF(U3&gt;'Project Assumptions'!$I$15+1,0,IF(AND('Project Assumptions'!$C$69="No",Operations!U3&gt;ProjectLife+1),0,Operations!U$43*U33))</f>
        <v>23440.092858000004</v>
      </c>
      <c r="V35" s="364">
        <f>IF(V3&gt;'Project Assumptions'!$I$15+1,0,IF(AND('Project Assumptions'!$C$69="No",Operations!V3&gt;ProjectLife+1),0,Operations!V$43*V33))</f>
        <v>23440.092858000004</v>
      </c>
      <c r="W35" s="365">
        <f>IF(W3&gt;'Project Assumptions'!$I$15+1,0,IF(AND('Project Assumptions'!$C$69="No",Operations!W3&gt;ProjectLife+1),0,Operations!W$43*W33))</f>
        <v>9880.6502533374969</v>
      </c>
      <c r="X35" s="783"/>
      <c r="Y35" s="783"/>
      <c r="Z35" s="783"/>
      <c r="AA35" s="783"/>
    </row>
    <row r="36" spans="1:29">
      <c r="A36" s="456" t="s">
        <v>369</v>
      </c>
      <c r="B36" s="58"/>
      <c r="C36" s="793">
        <f>C43*'Maintenance Reserves'!D7*('Project Assumptions'!$H$8+'Project Assumptions'!$I$8)*'Project Assumptions'!$N$60/1000</f>
        <v>0</v>
      </c>
      <c r="D36" s="793">
        <f>D43*'Maintenance Reserves'!E7*('Project Assumptions'!$H$8+'Project Assumptions'!$I$8)*'Project Assumptions'!$N$60/1000</f>
        <v>0</v>
      </c>
      <c r="E36" s="793">
        <f>E43*'Maintenance Reserves'!F7*('Project Assumptions'!$H$8+'Project Assumptions'!$I$8)*'Project Assumptions'!$N$60/1000</f>
        <v>0</v>
      </c>
      <c r="F36" s="793">
        <f>F43*'Maintenance Reserves'!G7*('Project Assumptions'!$H$8+'Project Assumptions'!$I$8)*'Project Assumptions'!$N$60/1000</f>
        <v>0</v>
      </c>
      <c r="G36" s="793">
        <f>G43*'Maintenance Reserves'!H7*('Project Assumptions'!$H$8+'Project Assumptions'!$I$8)*'Project Assumptions'!$N$60/1000</f>
        <v>0</v>
      </c>
      <c r="H36" s="793">
        <f>H43*'Maintenance Reserves'!I7*('Project Assumptions'!$H$8+'Project Assumptions'!$I$8)*'Project Assumptions'!$N$60/1000</f>
        <v>0</v>
      </c>
      <c r="I36" s="793">
        <f>I43*'Maintenance Reserves'!J7*('Project Assumptions'!$H$8+'Project Assumptions'!$I$8)*'Project Assumptions'!$N$60/1000</f>
        <v>0</v>
      </c>
      <c r="J36" s="793">
        <f>J43*'Maintenance Reserves'!K7*('Project Assumptions'!$H$8+'Project Assumptions'!$I$8)*'Project Assumptions'!$N$60/1000</f>
        <v>0</v>
      </c>
      <c r="K36" s="793">
        <f>K43*'Maintenance Reserves'!L7*('Project Assumptions'!$H$8+'Project Assumptions'!$I$8)*'Project Assumptions'!$N$60/1000</f>
        <v>0</v>
      </c>
      <c r="L36" s="793">
        <f>L43*'Maintenance Reserves'!M7*('Project Assumptions'!$H$8+'Project Assumptions'!$I$8)*'Project Assumptions'!$N$60/1000</f>
        <v>0</v>
      </c>
      <c r="M36" s="793">
        <f>M43*'Maintenance Reserves'!N7*('Project Assumptions'!$H$8+'Project Assumptions'!$I$8)*'Project Assumptions'!$N$60/1000</f>
        <v>0</v>
      </c>
      <c r="N36" s="793">
        <f>N43*'Maintenance Reserves'!O7*('Project Assumptions'!$H$8+'Project Assumptions'!$I$8)*'Project Assumptions'!$N$60/1000</f>
        <v>0</v>
      </c>
      <c r="O36" s="793">
        <f>O43*'Maintenance Reserves'!P7*('Project Assumptions'!$H$8+'Project Assumptions'!$I$8)*'Project Assumptions'!$N$60/1000</f>
        <v>0</v>
      </c>
      <c r="P36" s="793">
        <f>P43*'Maintenance Reserves'!Q7*('Project Assumptions'!$H$8+'Project Assumptions'!$I$8)*'Project Assumptions'!$N$60/1000</f>
        <v>0</v>
      </c>
      <c r="Q36" s="793">
        <f>Q43*'Maintenance Reserves'!R7*('Project Assumptions'!$H$8+'Project Assumptions'!$I$8)*'Project Assumptions'!$N$60/1000</f>
        <v>0</v>
      </c>
      <c r="R36" s="793">
        <f>R43*'Maintenance Reserves'!S7*('Project Assumptions'!$H$8+'Project Assumptions'!$I$8)*'Project Assumptions'!$N$60/1000</f>
        <v>0</v>
      </c>
      <c r="S36" s="793">
        <f>S43*'Maintenance Reserves'!T7*('Project Assumptions'!$H$8+'Project Assumptions'!$I$8)*'Project Assumptions'!$N$60/1000</f>
        <v>0</v>
      </c>
      <c r="T36" s="793">
        <f>T43*'Maintenance Reserves'!U7*('Project Assumptions'!$H$8+'Project Assumptions'!$I$8)*'Project Assumptions'!$N$60/1000</f>
        <v>0</v>
      </c>
      <c r="U36" s="793">
        <f>U43*'Maintenance Reserves'!V7*('Project Assumptions'!$H$8+'Project Assumptions'!$I$8)*'Project Assumptions'!$N$60/1000</f>
        <v>0</v>
      </c>
      <c r="V36" s="793">
        <f>V43*'Maintenance Reserves'!W7*('Project Assumptions'!$H$8+'Project Assumptions'!$I$8)*'Project Assumptions'!$N$60/1000</f>
        <v>0</v>
      </c>
      <c r="W36" s="794">
        <f>W43*'Maintenance Reserves'!X7*('Project Assumptions'!$H$8+'Project Assumptions'!$I$8)*'Project Assumptions'!$N$60/1000</f>
        <v>0</v>
      </c>
      <c r="X36" s="723"/>
      <c r="Y36" s="723"/>
      <c r="Z36" s="723"/>
      <c r="AA36" s="723"/>
    </row>
    <row r="37" spans="1:29">
      <c r="A37" s="673" t="s">
        <v>370</v>
      </c>
      <c r="B37" s="454"/>
      <c r="C37" s="734">
        <f>SUM(C35:C36)</f>
        <v>21838.752</v>
      </c>
      <c r="D37" s="734">
        <f t="shared" ref="D37:W37" si="2">SUM(D35:D36)</f>
        <v>21838.752</v>
      </c>
      <c r="E37" s="734">
        <f t="shared" si="2"/>
        <v>21838.752</v>
      </c>
      <c r="F37" s="734">
        <f t="shared" si="2"/>
        <v>22886.8123963375</v>
      </c>
      <c r="G37" s="734">
        <f t="shared" si="2"/>
        <v>23440.092858000004</v>
      </c>
      <c r="H37" s="734">
        <f t="shared" si="2"/>
        <v>23440.092858000004</v>
      </c>
      <c r="I37" s="734">
        <f t="shared" si="2"/>
        <v>23440.092858000004</v>
      </c>
      <c r="J37" s="734">
        <f t="shared" si="2"/>
        <v>23440.092858000004</v>
      </c>
      <c r="K37" s="734">
        <f t="shared" si="2"/>
        <v>23440.092858000004</v>
      </c>
      <c r="L37" s="734">
        <f t="shared" si="2"/>
        <v>23440.092858000004</v>
      </c>
      <c r="M37" s="734">
        <f t="shared" si="2"/>
        <v>23440.092858000004</v>
      </c>
      <c r="N37" s="734">
        <f t="shared" si="2"/>
        <v>23440.092858000004</v>
      </c>
      <c r="O37" s="734">
        <f t="shared" si="2"/>
        <v>23440.092858000004</v>
      </c>
      <c r="P37" s="734">
        <f t="shared" si="2"/>
        <v>23440.092858000004</v>
      </c>
      <c r="Q37" s="734">
        <f t="shared" si="2"/>
        <v>23440.092858000004</v>
      </c>
      <c r="R37" s="734">
        <f t="shared" si="2"/>
        <v>23440.092858000004</v>
      </c>
      <c r="S37" s="734">
        <f t="shared" si="2"/>
        <v>23440.092858000004</v>
      </c>
      <c r="T37" s="734">
        <f t="shared" si="2"/>
        <v>23440.092858000004</v>
      </c>
      <c r="U37" s="734">
        <f t="shared" si="2"/>
        <v>23440.092858000004</v>
      </c>
      <c r="V37" s="734">
        <f t="shared" si="2"/>
        <v>23440.092858000004</v>
      </c>
      <c r="W37" s="735">
        <f t="shared" si="2"/>
        <v>9880.6502533374969</v>
      </c>
      <c r="X37" s="723"/>
      <c r="Y37" s="723"/>
      <c r="Z37" s="723"/>
      <c r="AA37" s="723"/>
    </row>
    <row r="38" spans="1:29" s="34" customFormat="1" ht="12.6" customHeight="1"/>
    <row r="39" spans="1:29" s="411" customFormat="1" ht="15.75">
      <c r="A39" s="675" t="s">
        <v>78</v>
      </c>
      <c r="B39" s="437"/>
      <c r="C39" s="437"/>
      <c r="D39" s="437"/>
      <c r="E39" s="437"/>
      <c r="F39" s="437"/>
      <c r="G39" s="437"/>
      <c r="H39" s="437"/>
      <c r="I39" s="437"/>
      <c r="J39" s="437"/>
      <c r="K39" s="437"/>
      <c r="L39" s="437"/>
      <c r="M39" s="437"/>
      <c r="N39" s="437"/>
      <c r="O39" s="437"/>
      <c r="P39" s="437"/>
      <c r="Q39" s="437"/>
      <c r="R39" s="437"/>
      <c r="S39" s="437"/>
      <c r="T39" s="437"/>
      <c r="U39" s="437"/>
      <c r="V39" s="437"/>
      <c r="W39" s="408"/>
    </row>
    <row r="40" spans="1:29" s="353" customFormat="1" ht="12.6" customHeight="1">
      <c r="A40" s="359" t="s">
        <v>222</v>
      </c>
      <c r="B40" s="346"/>
      <c r="C40" s="795">
        <v>2.0071320833333335</v>
      </c>
      <c r="D40" s="795">
        <v>2.3047591666666665</v>
      </c>
      <c r="E40" s="795">
        <v>2.343126666666667</v>
      </c>
      <c r="F40" s="795">
        <v>2.3712799999999996</v>
      </c>
      <c r="G40" s="795">
        <v>2.4088749999999997</v>
      </c>
      <c r="H40" s="795">
        <v>2.4571133333333335</v>
      </c>
      <c r="I40" s="795">
        <v>2.5153083333333335</v>
      </c>
      <c r="J40" s="795">
        <v>2.5888675000000001</v>
      </c>
      <c r="K40" s="795">
        <v>2.6775333333333329</v>
      </c>
      <c r="L40" s="795">
        <v>2.7819925000000003</v>
      </c>
      <c r="M40" s="795">
        <v>2.9063650000000005</v>
      </c>
      <c r="N40" s="795">
        <v>3.0519383333333341</v>
      </c>
      <c r="O40" s="795">
        <v>3.2181116666666676</v>
      </c>
      <c r="P40" s="795">
        <v>3.3954433333333331</v>
      </c>
      <c r="Q40" s="795">
        <v>3.5830750000000005</v>
      </c>
      <c r="R40" s="795">
        <v>3.7762858333333331</v>
      </c>
      <c r="S40" s="795">
        <v>3.9770499999999998</v>
      </c>
      <c r="T40" s="795">
        <v>4.2069974999999991</v>
      </c>
      <c r="U40" s="795">
        <v>4.404585833333333</v>
      </c>
      <c r="V40" s="795">
        <v>4.6051783333333329</v>
      </c>
      <c r="W40" s="796">
        <v>4.7124658666666663</v>
      </c>
      <c r="X40" s="797"/>
      <c r="Y40" s="797"/>
      <c r="Z40" s="797"/>
      <c r="AA40" s="797"/>
    </row>
    <row r="41" spans="1:29" s="36" customFormat="1" ht="12.6" customHeight="1">
      <c r="A41" s="359" t="s">
        <v>238</v>
      </c>
      <c r="B41" s="346"/>
      <c r="C41" s="798">
        <f>IF('PPA Assumptions &amp;Summary'!C3&gt;'Project Assumptions'!$I$15+1,0,'Project Assumptions'!$C$64)</f>
        <v>2.5</v>
      </c>
      <c r="D41" s="798">
        <f>IF('PPA Assumptions &amp;Summary'!D3&gt;'Project Assumptions'!$I$15+1,0,'Project Assumptions'!$C$64)</f>
        <v>2.5</v>
      </c>
      <c r="E41" s="798">
        <f>IF('PPA Assumptions &amp;Summary'!E3&gt;'Project Assumptions'!$I$15+1,0,'Project Assumptions'!$C$64)</f>
        <v>2.5</v>
      </c>
      <c r="F41" s="798">
        <f>IF('PPA Assumptions &amp;Summary'!F3&gt;'Project Assumptions'!$I$15+1,0,'Project Assumptions'!$C$64)</f>
        <v>2.5</v>
      </c>
      <c r="G41" s="798">
        <f>IF('PPA Assumptions &amp;Summary'!G3&gt;'Project Assumptions'!$I$15+1,0,'Project Assumptions'!$C$64)</f>
        <v>2.5</v>
      </c>
      <c r="H41" s="798">
        <f>IF('PPA Assumptions &amp;Summary'!H3&gt;'Project Assumptions'!$I$15+1,0,'Project Assumptions'!$C$64)</f>
        <v>2.5</v>
      </c>
      <c r="I41" s="798">
        <f>IF('PPA Assumptions &amp;Summary'!I3&gt;'Project Assumptions'!$I$15+1,0,'Project Assumptions'!$C$64)</f>
        <v>2.5</v>
      </c>
      <c r="J41" s="798">
        <f>IF('PPA Assumptions &amp;Summary'!J3&gt;'Project Assumptions'!$I$15+1,0,'Project Assumptions'!$C$64)</f>
        <v>2.5</v>
      </c>
      <c r="K41" s="798">
        <f>IF('PPA Assumptions &amp;Summary'!K3&gt;'Project Assumptions'!$I$15+1,0,'Project Assumptions'!$C$64)</f>
        <v>2.5</v>
      </c>
      <c r="L41" s="798">
        <f>IF('PPA Assumptions &amp;Summary'!L3&gt;'Project Assumptions'!$I$15+1,0,'Project Assumptions'!$C$64)</f>
        <v>2.5</v>
      </c>
      <c r="M41" s="798">
        <f>IF('PPA Assumptions &amp;Summary'!M3&gt;'Project Assumptions'!$I$15+1,0,'Project Assumptions'!$C$64)</f>
        <v>2.5</v>
      </c>
      <c r="N41" s="798">
        <f>IF('PPA Assumptions &amp;Summary'!N3&gt;'Project Assumptions'!$I$15+1,0,'Project Assumptions'!$C$64)</f>
        <v>2.5</v>
      </c>
      <c r="O41" s="798">
        <f>IF('PPA Assumptions &amp;Summary'!O3&gt;'Project Assumptions'!$I$15+1,0,'Project Assumptions'!$C$64)</f>
        <v>2.5</v>
      </c>
      <c r="P41" s="798">
        <f>IF('PPA Assumptions &amp;Summary'!P3&gt;'Project Assumptions'!$I$15+1,0,'Project Assumptions'!$C$64)</f>
        <v>2.5</v>
      </c>
      <c r="Q41" s="798">
        <f>IF('PPA Assumptions &amp;Summary'!Q3&gt;'Project Assumptions'!$I$15+1,0,'Project Assumptions'!$C$64)</f>
        <v>2.5</v>
      </c>
      <c r="R41" s="798">
        <f>IF('PPA Assumptions &amp;Summary'!R3&gt;'Project Assumptions'!$I$15+1,0,'Project Assumptions'!$C$64)</f>
        <v>2.5</v>
      </c>
      <c r="S41" s="798">
        <f>IF('PPA Assumptions &amp;Summary'!S3&gt;'Project Assumptions'!$I$15+1,0,'Project Assumptions'!$C$64)</f>
        <v>2.5</v>
      </c>
      <c r="T41" s="798">
        <f>IF('PPA Assumptions &amp;Summary'!T3&gt;'Project Assumptions'!$I$15+1,0,'Project Assumptions'!$C$64)</f>
        <v>2.5</v>
      </c>
      <c r="U41" s="798">
        <f>IF('PPA Assumptions &amp;Summary'!U3&gt;'Project Assumptions'!$I$15+1,0,'Project Assumptions'!$C$64)</f>
        <v>2.5</v>
      </c>
      <c r="V41" s="798">
        <f>IF('PPA Assumptions &amp;Summary'!V3&gt;'Project Assumptions'!$I$15+1,0,'Project Assumptions'!$C$64)</f>
        <v>2.5</v>
      </c>
      <c r="W41" s="799">
        <f>IF('PPA Assumptions &amp;Summary'!W3&gt;'Project Assumptions'!$I$15+1,0,'Project Assumptions'!$C$64)</f>
        <v>2.5</v>
      </c>
      <c r="X41" s="797"/>
      <c r="Y41" s="797"/>
      <c r="Z41" s="797"/>
      <c r="AA41" s="797"/>
      <c r="AC41" s="34"/>
    </row>
    <row r="42" spans="1:29" s="353" customFormat="1" ht="12.6" customHeight="1">
      <c r="A42" s="800" t="s">
        <v>236</v>
      </c>
      <c r="B42" s="363"/>
      <c r="C42" s="737">
        <f>IF('PPA Assumptions &amp;Summary'!C3&gt;'Project Assumptions'!$I$15+1,0,IF('Project Assumptions'!$N$70&gt;0,'Project Assumptions'!$N$70,0))</f>
        <v>0</v>
      </c>
      <c r="D42" s="737">
        <f>IF('PPA Assumptions &amp;Summary'!D3&gt;'Project Assumptions'!$I$15+1,0,IF('Project Assumptions'!$N$70&gt;0,'Project Assumptions'!$N$70,0))</f>
        <v>0</v>
      </c>
      <c r="E42" s="737">
        <f>IF('PPA Assumptions &amp;Summary'!E3&gt;'Project Assumptions'!$I$15+1,0,IF('Project Assumptions'!$N$70&gt;0,'Project Assumptions'!$N$70,0))</f>
        <v>0</v>
      </c>
      <c r="F42" s="737">
        <f>IF('PPA Assumptions &amp;Summary'!F3&gt;'Project Assumptions'!$I$15+1,0,IF('Project Assumptions'!$N$70&gt;0,'Project Assumptions'!$N$70,0))</f>
        <v>0</v>
      </c>
      <c r="G42" s="737">
        <f>IF('PPA Assumptions &amp;Summary'!G3&gt;'Project Assumptions'!$I$15+1,0,IF('Project Assumptions'!$N$70&gt;0,'Project Assumptions'!$N$70,0))</f>
        <v>0</v>
      </c>
      <c r="H42" s="737">
        <f>IF('PPA Assumptions &amp;Summary'!H3&gt;'Project Assumptions'!$I$15+1,0,IF('Project Assumptions'!$N$70&gt;0,'Project Assumptions'!$N$70,0))</f>
        <v>0</v>
      </c>
      <c r="I42" s="737">
        <f>IF('PPA Assumptions &amp;Summary'!I3&gt;'Project Assumptions'!$I$15+1,0,IF('Project Assumptions'!$N$70&gt;0,'Project Assumptions'!$N$70,0))</f>
        <v>0</v>
      </c>
      <c r="J42" s="737">
        <f>IF('PPA Assumptions &amp;Summary'!J3&gt;'Project Assumptions'!$I$15+1,0,IF('Project Assumptions'!$N$70&gt;0,'Project Assumptions'!$N$70,0))</f>
        <v>0</v>
      </c>
      <c r="K42" s="737">
        <f>IF('PPA Assumptions &amp;Summary'!K3&gt;'Project Assumptions'!$I$15+1,0,IF('Project Assumptions'!$N$70&gt;0,'Project Assumptions'!$N$70,0))</f>
        <v>0</v>
      </c>
      <c r="L42" s="737">
        <f>IF('PPA Assumptions &amp;Summary'!L3&gt;'Project Assumptions'!$I$15+1,0,IF('Project Assumptions'!$N$70&gt;0,'Project Assumptions'!$N$70,0))</f>
        <v>0</v>
      </c>
      <c r="M42" s="737">
        <f>IF('PPA Assumptions &amp;Summary'!M3&gt;'Project Assumptions'!$I$15+1,0,IF('Project Assumptions'!$N$70&gt;0,'Project Assumptions'!$N$70,0))</f>
        <v>0</v>
      </c>
      <c r="N42" s="737">
        <f>IF('PPA Assumptions &amp;Summary'!N3&gt;'Project Assumptions'!$I$15+1,0,IF('Project Assumptions'!$N$70&gt;0,'Project Assumptions'!$N$70,0))</f>
        <v>0</v>
      </c>
      <c r="O42" s="737">
        <f>IF('PPA Assumptions &amp;Summary'!O3&gt;'Project Assumptions'!$I$15+1,0,IF('Project Assumptions'!$N$70&gt;0,'Project Assumptions'!$N$70,0))</f>
        <v>0</v>
      </c>
      <c r="P42" s="737">
        <f>IF('PPA Assumptions &amp;Summary'!P3&gt;'Project Assumptions'!$I$15+1,0,IF('Project Assumptions'!$N$70&gt;0,'Project Assumptions'!$N$70,0))</f>
        <v>0</v>
      </c>
      <c r="Q42" s="737">
        <f>IF('PPA Assumptions &amp;Summary'!Q3&gt;'Project Assumptions'!$I$15+1,0,IF('Project Assumptions'!$N$70&gt;0,'Project Assumptions'!$N$70,0))</f>
        <v>0</v>
      </c>
      <c r="R42" s="737">
        <f>IF('PPA Assumptions &amp;Summary'!R3&gt;'Project Assumptions'!$I$15+1,0,IF('Project Assumptions'!$N$70&gt;0,'Project Assumptions'!$N$70,0))</f>
        <v>0</v>
      </c>
      <c r="S42" s="737">
        <f>IF('PPA Assumptions &amp;Summary'!S3&gt;'Project Assumptions'!$I$15+1,0,IF('Project Assumptions'!$N$70&gt;0,'Project Assumptions'!$N$70,0))</f>
        <v>0</v>
      </c>
      <c r="T42" s="737">
        <f>IF('PPA Assumptions &amp;Summary'!T3&gt;'Project Assumptions'!$I$15+1,0,IF('Project Assumptions'!$N$70&gt;0,'Project Assumptions'!$N$70,0))</f>
        <v>0</v>
      </c>
      <c r="U42" s="737">
        <f>IF('PPA Assumptions &amp;Summary'!U3&gt;'Project Assumptions'!$I$15+1,0,IF('Project Assumptions'!$N$70&gt;0,'Project Assumptions'!$N$70,0))</f>
        <v>0</v>
      </c>
      <c r="V42" s="737">
        <f>IF('PPA Assumptions &amp;Summary'!V3&gt;'Project Assumptions'!$I$15+1,0,IF('Project Assumptions'!$N$70&gt;0,'Project Assumptions'!$N$70,0))</f>
        <v>0</v>
      </c>
      <c r="W42" s="801">
        <f>IF('PPA Assumptions &amp;Summary'!W3&gt;'Project Assumptions'!$I$15+1,0,IF('Project Assumptions'!$N$70&gt;0,'Project Assumptions'!$N$70,0))</f>
        <v>0</v>
      </c>
      <c r="X42" s="754"/>
      <c r="Y42" s="754"/>
      <c r="Z42" s="754"/>
      <c r="AA42" s="754"/>
    </row>
    <row r="43" spans="1:29" s="353" customFormat="1" ht="12.6" customHeight="1">
      <c r="A43" s="800" t="s">
        <v>237</v>
      </c>
      <c r="B43" s="363"/>
      <c r="C43" s="802">
        <f>IF(AND('Project Assumptions'!$C$63="Fixed",C42&gt;0),C41*(1+C42),IF(AND('Project Assumptions'!$C$63="Index",C42&gt;0),C40*(1+C42),IF('Project Assumptions'!$C$63="Fixed",C41,C40)))</f>
        <v>2.5</v>
      </c>
      <c r="D43" s="802">
        <f>IF(AND('Project Assumptions'!$C$63="Fixed",D42&gt;0),D41*(1+D42),IF(AND('Project Assumptions'!$C$63="Index",D42&gt;0),D40*(1+D42),IF('Project Assumptions'!$C$63="Fixed",D41,D40)))</f>
        <v>2.5</v>
      </c>
      <c r="E43" s="803">
        <f>IF(AND('Project Assumptions'!$C$63="Fixed",E42&gt;0),E41*(1+E42),IF(AND('Project Assumptions'!$C$63="Index",E42&gt;0),E40*(1+E42),IF('Project Assumptions'!$C$63="Fixed",E41,E40)))</f>
        <v>2.5</v>
      </c>
      <c r="F43" s="802">
        <f>IF(AND('Project Assumptions'!$C$63="Fixed",F42&gt;0),F41*(1+F42),IF(AND('Project Assumptions'!$C$63="Index",F42&gt;0),F40*(1+F42),IF('Project Assumptions'!$C$63="Fixed",F41,F40)))</f>
        <v>2.5</v>
      </c>
      <c r="G43" s="802">
        <f>IF(AND('Project Assumptions'!$C$63="Fixed",G42&gt;0),G41*(1+G42),IF(AND('Project Assumptions'!$C$63="Index",G42&gt;0),G40*(1+G42),IF('Project Assumptions'!$C$63="Fixed",G41,G40)))</f>
        <v>2.5</v>
      </c>
      <c r="H43" s="802">
        <f>IF(AND('Project Assumptions'!$C$63="Fixed",H42&gt;0),H41*(1+H42),IF(AND('Project Assumptions'!$C$63="Index",H42&gt;0),H40*(1+H42),IF('Project Assumptions'!$C$63="Fixed",H41,H40)))</f>
        <v>2.5</v>
      </c>
      <c r="I43" s="802">
        <f>IF(AND('Project Assumptions'!$C$63="Fixed",I42&gt;0),I41*(1+I42),IF(AND('Project Assumptions'!$C$63="Index",I42&gt;0),I40*(1+I42),IF('Project Assumptions'!$C$63="Fixed",I41,I40)))</f>
        <v>2.5</v>
      </c>
      <c r="J43" s="802">
        <f>IF(AND('Project Assumptions'!$C$63="Fixed",J42&gt;0),J41*(1+J42),IF(AND('Project Assumptions'!$C$63="Index",J42&gt;0),J40*(1+J42),IF('Project Assumptions'!$C$63="Fixed",J41,J40)))</f>
        <v>2.5</v>
      </c>
      <c r="K43" s="802">
        <f>IF(AND('Project Assumptions'!$C$63="Fixed",K42&gt;0),K41*(1+K42),IF(AND('Project Assumptions'!$C$63="Index",K42&gt;0),K40*(1+K42),IF('Project Assumptions'!$C$63="Fixed",K41,K40)))</f>
        <v>2.5</v>
      </c>
      <c r="L43" s="802">
        <f>IF(AND('Project Assumptions'!$C$63="Fixed",L42&gt;0),L41*(1+L42),IF(AND('Project Assumptions'!$C$63="Index",L42&gt;0),L40*(1+L42),IF('Project Assumptions'!$C$63="Fixed",L41,L40)))</f>
        <v>2.5</v>
      </c>
      <c r="M43" s="802">
        <f>IF(AND('Project Assumptions'!$C$63="Fixed",M42&gt;0),M41*(1+M42),IF(AND('Project Assumptions'!$C$63="Index",M42&gt;0),M40*(1+M42),IF('Project Assumptions'!$C$63="Fixed",M41,M40)))</f>
        <v>2.5</v>
      </c>
      <c r="N43" s="802">
        <f>IF(AND('Project Assumptions'!$C$63="Fixed",N42&gt;0),N41*(1+N42),IF(AND('Project Assumptions'!$C$63="Index",N42&gt;0),N40*(1+N42),IF('Project Assumptions'!$C$63="Fixed",N41,N40)))</f>
        <v>2.5</v>
      </c>
      <c r="O43" s="802">
        <f>IF(AND('Project Assumptions'!$C$63="Fixed",O42&gt;0),O41*(1+O42),IF(AND('Project Assumptions'!$C$63="Index",O42&gt;0),O40*(1+O42),IF('Project Assumptions'!$C$63="Fixed",O41,O40)))</f>
        <v>2.5</v>
      </c>
      <c r="P43" s="802">
        <f>IF(AND('Project Assumptions'!$C$63="Fixed",P42&gt;0),P41*(1+P42),IF(AND('Project Assumptions'!$C$63="Index",P42&gt;0),P40*(1+P42),IF('Project Assumptions'!$C$63="Fixed",P41,P40)))</f>
        <v>2.5</v>
      </c>
      <c r="Q43" s="802">
        <f>IF(AND('Project Assumptions'!$C$63="Fixed",Q42&gt;0),Q41*(1+Q42),IF(AND('Project Assumptions'!$C$63="Index",Q42&gt;0),Q40*(1+Q42),IF('Project Assumptions'!$C$63="Fixed",Q41,Q40)))</f>
        <v>2.5</v>
      </c>
      <c r="R43" s="802">
        <f>IF(AND('Project Assumptions'!$C$63="Fixed",R42&gt;0),R41*(1+R42),IF(AND('Project Assumptions'!$C$63="Index",R42&gt;0),R40*(1+R42),IF('Project Assumptions'!$C$63="Fixed",R41,R40)))</f>
        <v>2.5</v>
      </c>
      <c r="S43" s="802">
        <f>IF(AND('Project Assumptions'!$C$63="Fixed",S42&gt;0),S41*(1+S42),IF(AND('Project Assumptions'!$C$63="Index",S42&gt;0),S40*(1+S42),IF('Project Assumptions'!$C$63="Fixed",S41,S40)))</f>
        <v>2.5</v>
      </c>
      <c r="T43" s="802">
        <f>IF(AND('Project Assumptions'!$C$63="Fixed",T42&gt;0),T41*(1+T42),IF(AND('Project Assumptions'!$C$63="Index",T42&gt;0),T40*(1+T42),IF('Project Assumptions'!$C$63="Fixed",T41,T40)))</f>
        <v>2.5</v>
      </c>
      <c r="U43" s="802">
        <f>IF(AND('Project Assumptions'!$C$63="Fixed",U42&gt;0),U41*(1+U42),IF(AND('Project Assumptions'!$C$63="Index",U42&gt;0),U40*(1+U42),IF('Project Assumptions'!$C$63="Fixed",U41,U40)))</f>
        <v>2.5</v>
      </c>
      <c r="V43" s="802">
        <f>IF(AND('Project Assumptions'!$C$63="Fixed",V42&gt;0),V41*(1+V42),IF(AND('Project Assumptions'!$C$63="Index",V42&gt;0),V40*(1+V42),IF('Project Assumptions'!$C$63="Fixed",V41,V40)))</f>
        <v>2.5</v>
      </c>
      <c r="W43" s="804">
        <f>IF(AND('Project Assumptions'!$C$63="Fixed",W42&gt;0),W41*(1+W42),IF(AND('Project Assumptions'!$C$63="Index",W42&gt;0),W40*(1+W42),IF('Project Assumptions'!$C$63="Fixed",W41,W40)))</f>
        <v>2.5</v>
      </c>
      <c r="X43" s="805"/>
      <c r="Y43" s="805"/>
      <c r="Z43" s="805"/>
      <c r="AA43" s="805"/>
    </row>
    <row r="44" spans="1:29" s="353" customFormat="1" ht="12.6" customHeight="1">
      <c r="A44" s="800"/>
      <c r="B44" s="363"/>
      <c r="C44" s="802"/>
      <c r="D44" s="802"/>
      <c r="E44" s="802"/>
      <c r="F44" s="802"/>
      <c r="G44" s="802"/>
      <c r="H44" s="802"/>
      <c r="I44" s="802"/>
      <c r="J44" s="802"/>
      <c r="K44" s="802"/>
      <c r="L44" s="802"/>
      <c r="M44" s="802"/>
      <c r="N44" s="802"/>
      <c r="O44" s="802"/>
      <c r="P44" s="802"/>
      <c r="Q44" s="802"/>
      <c r="R44" s="802"/>
      <c r="S44" s="802"/>
      <c r="T44" s="802"/>
      <c r="U44" s="802"/>
      <c r="V44" s="802"/>
      <c r="W44" s="804"/>
      <c r="X44" s="805"/>
      <c r="Y44" s="805"/>
      <c r="Z44" s="805"/>
      <c r="AA44" s="805"/>
    </row>
    <row r="45" spans="1:29" s="36" customFormat="1" ht="12.6" customHeight="1">
      <c r="A45" s="359" t="s">
        <v>223</v>
      </c>
      <c r="B45" s="346"/>
      <c r="C45" s="798">
        <v>21.1797</v>
      </c>
      <c r="D45" s="798">
        <v>22.012950000000004</v>
      </c>
      <c r="E45" s="798">
        <v>23.558250000000001</v>
      </c>
      <c r="F45" s="798">
        <v>24.588449999999998</v>
      </c>
      <c r="G45" s="798">
        <v>26.462</v>
      </c>
      <c r="H45" s="798">
        <v>29.110725000000002</v>
      </c>
      <c r="I45" s="798">
        <v>31.221625000000003</v>
      </c>
      <c r="J45" s="798">
        <v>32.913375000000002</v>
      </c>
      <c r="K45" s="798">
        <v>31.893274999999999</v>
      </c>
      <c r="L45" s="798">
        <v>34.744</v>
      </c>
      <c r="M45" s="798">
        <v>38.104774999999997</v>
      </c>
      <c r="N45" s="798">
        <v>40.056599999999996</v>
      </c>
      <c r="O45" s="798">
        <v>39.882374999999996</v>
      </c>
      <c r="P45" s="798">
        <v>39.331925000000005</v>
      </c>
      <c r="Q45" s="798">
        <v>46.321124999999995</v>
      </c>
      <c r="R45" s="798">
        <v>44.642000000000003</v>
      </c>
      <c r="S45" s="798">
        <v>50.891375000000004</v>
      </c>
      <c r="T45" s="798">
        <v>50.096000000000004</v>
      </c>
      <c r="U45" s="798">
        <v>49.431925</v>
      </c>
      <c r="V45" s="798">
        <v>56.320125000000004</v>
      </c>
      <c r="W45" s="799">
        <v>52.045300000000005</v>
      </c>
      <c r="X45" s="797"/>
      <c r="Y45" s="797"/>
      <c r="Z45" s="797"/>
      <c r="AA45" s="797"/>
    </row>
    <row r="46" spans="1:29">
      <c r="A46" s="781" t="s">
        <v>224</v>
      </c>
      <c r="B46" s="454"/>
      <c r="C46" s="806" t="str">
        <f>IF('PPA Assumptions &amp;Summary'!C3&gt;ProjectLife+1,'Project Assumptions'!$C$71,"")</f>
        <v/>
      </c>
      <c r="D46" s="806" t="str">
        <f>IF('PPA Assumptions &amp;Summary'!D3&gt;ProjectLife+1,'Project Assumptions'!$C$71,"")</f>
        <v/>
      </c>
      <c r="E46" s="806" t="str">
        <f>IF('PPA Assumptions &amp;Summary'!E3&gt;ProjectLife+1,'Project Assumptions'!$C$71,"")</f>
        <v/>
      </c>
      <c r="F46" s="806" t="str">
        <f>IF('PPA Assumptions &amp;Summary'!F3&gt;ProjectLife+1,'Project Assumptions'!$C$71,"")</f>
        <v/>
      </c>
      <c r="G46" s="806" t="str">
        <f>IF('PPA Assumptions &amp;Summary'!G3&gt;ProjectLife+1,'Project Assumptions'!$C$71,"")</f>
        <v/>
      </c>
      <c r="H46" s="806" t="str">
        <f>IF('PPA Assumptions &amp;Summary'!H3&gt;ProjectLife+1,'Project Assumptions'!$C$71,"")</f>
        <v/>
      </c>
      <c r="I46" s="806" t="str">
        <f>IF('PPA Assumptions &amp;Summary'!I3&gt;ProjectLife+1,'Project Assumptions'!$C$71,"")</f>
        <v/>
      </c>
      <c r="J46" s="806" t="str">
        <f>IF('PPA Assumptions &amp;Summary'!J3&gt;ProjectLife+1,'Project Assumptions'!$C$71,"")</f>
        <v/>
      </c>
      <c r="K46" s="806" t="str">
        <f>IF('PPA Assumptions &amp;Summary'!K3&gt;ProjectLife+1,'Project Assumptions'!$C$71,"")</f>
        <v/>
      </c>
      <c r="L46" s="806" t="str">
        <f>IF('PPA Assumptions &amp;Summary'!L3&gt;ProjectLife+1,'Project Assumptions'!$C$71,"")</f>
        <v/>
      </c>
      <c r="M46" s="806" t="str">
        <f>IF('PPA Assumptions &amp;Summary'!M3&gt;ProjectLife+1,'Project Assumptions'!$C$71,"")</f>
        <v/>
      </c>
      <c r="N46" s="806" t="str">
        <f>IF('PPA Assumptions &amp;Summary'!N3&gt;ProjectLife+1,'Project Assumptions'!$C$71,"")</f>
        <v/>
      </c>
      <c r="O46" s="806" t="str">
        <f>IF('PPA Assumptions &amp;Summary'!O3&gt;ProjectLife+1,'Project Assumptions'!$C$71,"")</f>
        <v/>
      </c>
      <c r="P46" s="806" t="str">
        <f>IF('PPA Assumptions &amp;Summary'!P3&gt;ProjectLife+1,'Project Assumptions'!$C$71,"")</f>
        <v/>
      </c>
      <c r="Q46" s="806" t="str">
        <f>IF('PPA Assumptions &amp;Summary'!Q3&gt;ProjectLife+1,'Project Assumptions'!$C$71,"")</f>
        <v/>
      </c>
      <c r="R46" s="806" t="str">
        <f>IF('PPA Assumptions &amp;Summary'!R3&gt;ProjectLife+1,'Project Assumptions'!$C$71,"")</f>
        <v/>
      </c>
      <c r="S46" s="806" t="str">
        <f>IF('PPA Assumptions &amp;Summary'!S3&gt;ProjectLife+1,'Project Assumptions'!$C$71,"")</f>
        <v/>
      </c>
      <c r="T46" s="806" t="str">
        <f>IF('PPA Assumptions &amp;Summary'!T3&gt;ProjectLife+1,'Project Assumptions'!$C$71,"")</f>
        <v/>
      </c>
      <c r="U46" s="806" t="str">
        <f>IF('PPA Assumptions &amp;Summary'!U3&gt;ProjectLife+1,'Project Assumptions'!$C$71,"")</f>
        <v/>
      </c>
      <c r="V46" s="806" t="str">
        <f>IF('PPA Assumptions &amp;Summary'!V3&gt;ProjectLife+1,'Project Assumptions'!$C$71,"")</f>
        <v/>
      </c>
      <c r="W46" s="807" t="str">
        <f>IF('PPA Assumptions &amp;Summary'!W3&gt;ProjectLife+1,'Project Assumptions'!$C$71,"")</f>
        <v/>
      </c>
      <c r="X46" s="797"/>
      <c r="Y46" s="797"/>
      <c r="Z46" s="797"/>
      <c r="AA46" s="797"/>
    </row>
    <row r="69" spans="3:10">
      <c r="C69" s="808"/>
      <c r="D69" s="808"/>
      <c r="E69" s="808"/>
      <c r="F69" s="808"/>
      <c r="G69" s="808"/>
      <c r="H69" s="808"/>
      <c r="I69" s="808"/>
      <c r="J69" s="808"/>
    </row>
    <row r="71" spans="3:10" ht="12.6" customHeight="1"/>
  </sheetData>
  <customSheetViews>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1"/>
      <headerFooter alignWithMargins="0">
        <oddFooter>&amp;L&amp;D   &amp;T&amp;RO:\Naes\GenSvcs\TVA\TVA Model\&amp;F
&amp;A &amp;P</oddFooter>
      </headerFooter>
    </customSheetView>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zoomScale="75" zoomScaleNormal="75" zoomScaleSheetLayoutView="85" workbookViewId="0"/>
  </sheetViews>
  <sheetFormatPr defaultRowHeight="12.75"/>
  <cols>
    <col min="1" max="1" width="36.28515625" style="27" bestFit="1" customWidth="1"/>
    <col min="2" max="3" width="12.42578125" style="27" bestFit="1" customWidth="1"/>
    <col min="4" max="4" width="9.140625" style="27"/>
    <col min="5" max="12" width="11.42578125" style="27" bestFit="1" customWidth="1"/>
    <col min="13" max="13" width="9.85546875" style="27" customWidth="1"/>
    <col min="14" max="29" width="11.42578125" style="27" bestFit="1" customWidth="1"/>
    <col min="30" max="16384" width="9.140625" style="27"/>
  </cols>
  <sheetData>
    <row r="1" spans="1:53" ht="20.25">
      <c r="A1" s="486" t="str">
        <f>'Project Assumptions'!$A$2</f>
        <v>WILTON CENTER, Will County, IL</v>
      </c>
      <c r="B1" s="487"/>
      <c r="C1" s="535"/>
    </row>
    <row r="2" spans="1:53" ht="15.6" customHeight="1">
      <c r="A2" s="490" t="s">
        <v>197</v>
      </c>
      <c r="B2" s="491"/>
      <c r="C2" s="536"/>
      <c r="E2" s="36"/>
    </row>
    <row r="3" spans="1:53" s="34" customFormat="1" ht="12.6" customHeight="1">
      <c r="A3" s="29"/>
      <c r="E3" s="36"/>
    </row>
    <row r="4" spans="1:53" ht="12.6" customHeight="1">
      <c r="A4" s="34"/>
      <c r="B4" s="34"/>
      <c r="C4" s="34"/>
      <c r="D4" s="36"/>
      <c r="E4" s="36">
        <f>'Book Income Statement'!D4</f>
        <v>1</v>
      </c>
      <c r="F4" s="36">
        <f>'Book Income Statement'!E4</f>
        <v>2</v>
      </c>
      <c r="G4" s="36">
        <f>'Book Income Statement'!F4</f>
        <v>3</v>
      </c>
      <c r="H4" s="36">
        <f>'Book Income Statement'!G4</f>
        <v>4</v>
      </c>
      <c r="I4" s="36">
        <f>'Book Income Statement'!H4</f>
        <v>5</v>
      </c>
      <c r="J4" s="36">
        <f>'Book Income Statement'!I4</f>
        <v>6</v>
      </c>
      <c r="K4" s="36">
        <f>'Book Income Statement'!J4</f>
        <v>7</v>
      </c>
      <c r="L4" s="36">
        <f>'Book Income Statement'!K4</f>
        <v>8</v>
      </c>
      <c r="M4" s="36">
        <f>'Book Income Statement'!L4</f>
        <v>9</v>
      </c>
      <c r="N4" s="36">
        <f>'Book Income Statement'!M4</f>
        <v>10</v>
      </c>
      <c r="O4" s="36">
        <f>'Book Income Statement'!N4</f>
        <v>11</v>
      </c>
      <c r="P4" s="36">
        <f>'Book Income Statement'!O4</f>
        <v>12</v>
      </c>
      <c r="Q4" s="36">
        <f>'Book Income Statement'!P4</f>
        <v>13</v>
      </c>
      <c r="R4" s="36">
        <f>'Book Income Statement'!Q4</f>
        <v>14</v>
      </c>
      <c r="S4" s="36">
        <f>'Book Income Statement'!R4</f>
        <v>15</v>
      </c>
      <c r="T4" s="36">
        <f>'Book Income Statement'!S4</f>
        <v>16</v>
      </c>
      <c r="U4" s="36">
        <f>'Book Income Statement'!T4</f>
        <v>17</v>
      </c>
      <c r="V4" s="36">
        <f>'Book Income Statement'!U4</f>
        <v>18</v>
      </c>
      <c r="W4" s="36">
        <f>'Book Income Statement'!V4</f>
        <v>19</v>
      </c>
      <c r="X4" s="36">
        <f>'Book Income Statement'!W4</f>
        <v>20</v>
      </c>
      <c r="Y4" s="36">
        <f>'Book Income Statement'!X4</f>
        <v>21</v>
      </c>
      <c r="Z4" s="36">
        <f>'Book Income Statement'!Y4</f>
        <v>22</v>
      </c>
      <c r="AA4" s="36">
        <f>'Book Income Statement'!Z4</f>
        <v>23</v>
      </c>
      <c r="AB4" s="36">
        <f>'Book Income Statement'!AA4</f>
        <v>24</v>
      </c>
      <c r="AC4" s="36">
        <f>'Book Income Statement'!AB4</f>
        <v>25</v>
      </c>
    </row>
    <row r="5" spans="1:53" s="36" customFormat="1" ht="12.6" customHeight="1">
      <c r="A5" s="502"/>
      <c r="B5" s="446"/>
      <c r="C5" s="343"/>
      <c r="D5" s="343"/>
      <c r="E5" s="692">
        <f>YEAR('Project Assumptions'!$G$16)</f>
        <v>2000</v>
      </c>
      <c r="F5" s="692">
        <f>E5+1</f>
        <v>2001</v>
      </c>
      <c r="G5" s="692">
        <f t="shared" ref="G5:AC5" si="0">F5+1</f>
        <v>2002</v>
      </c>
      <c r="H5" s="692">
        <f t="shared" si="0"/>
        <v>2003</v>
      </c>
      <c r="I5" s="692">
        <f t="shared" si="0"/>
        <v>2004</v>
      </c>
      <c r="J5" s="692">
        <f t="shared" si="0"/>
        <v>2005</v>
      </c>
      <c r="K5" s="692">
        <f t="shared" si="0"/>
        <v>2006</v>
      </c>
      <c r="L5" s="692">
        <f t="shared" si="0"/>
        <v>2007</v>
      </c>
      <c r="M5" s="692">
        <f t="shared" si="0"/>
        <v>2008</v>
      </c>
      <c r="N5" s="692">
        <f t="shared" si="0"/>
        <v>2009</v>
      </c>
      <c r="O5" s="692">
        <f t="shared" si="0"/>
        <v>2010</v>
      </c>
      <c r="P5" s="692">
        <f t="shared" si="0"/>
        <v>2011</v>
      </c>
      <c r="Q5" s="692">
        <f t="shared" si="0"/>
        <v>2012</v>
      </c>
      <c r="R5" s="692">
        <f t="shared" si="0"/>
        <v>2013</v>
      </c>
      <c r="S5" s="692">
        <f t="shared" si="0"/>
        <v>2014</v>
      </c>
      <c r="T5" s="692">
        <f t="shared" si="0"/>
        <v>2015</v>
      </c>
      <c r="U5" s="692">
        <f t="shared" si="0"/>
        <v>2016</v>
      </c>
      <c r="V5" s="692">
        <f t="shared" si="0"/>
        <v>2017</v>
      </c>
      <c r="W5" s="692">
        <f t="shared" si="0"/>
        <v>2018</v>
      </c>
      <c r="X5" s="692">
        <f t="shared" si="0"/>
        <v>2019</v>
      </c>
      <c r="Y5" s="692">
        <f t="shared" si="0"/>
        <v>2020</v>
      </c>
      <c r="Z5" s="692">
        <f t="shared" si="0"/>
        <v>2021</v>
      </c>
      <c r="AA5" s="692">
        <f t="shared" si="0"/>
        <v>2022</v>
      </c>
      <c r="AB5" s="692">
        <f t="shared" si="0"/>
        <v>2023</v>
      </c>
      <c r="AC5" s="693">
        <f t="shared" si="0"/>
        <v>2024</v>
      </c>
      <c r="AD5" s="40"/>
      <c r="AE5" s="40"/>
      <c r="AF5" s="40"/>
      <c r="AG5" s="40"/>
      <c r="AH5" s="40"/>
      <c r="AI5" s="40"/>
      <c r="AJ5" s="40"/>
      <c r="AK5" s="40"/>
      <c r="AL5" s="40"/>
      <c r="AM5" s="40"/>
      <c r="AN5" s="40"/>
      <c r="AO5" s="40"/>
      <c r="AP5" s="40"/>
      <c r="AQ5" s="40"/>
      <c r="AR5" s="40"/>
      <c r="AS5" s="40"/>
      <c r="AT5" s="40"/>
      <c r="AU5" s="40"/>
      <c r="AV5" s="40"/>
      <c r="AW5" s="40"/>
      <c r="AX5" s="40"/>
      <c r="AY5" s="40"/>
      <c r="AZ5" s="40"/>
      <c r="BA5" s="40"/>
    </row>
    <row r="6" spans="1:53" s="699" customFormat="1" ht="12.6" customHeight="1">
      <c r="A6" s="694" t="s">
        <v>2</v>
      </c>
      <c r="B6" s="695"/>
      <c r="C6" s="695"/>
      <c r="D6" s="696"/>
      <c r="E6" s="697">
        <f>'Book Income Statement'!D65</f>
        <v>15154.041410262944</v>
      </c>
      <c r="F6" s="697">
        <f>'Book Income Statement'!E65</f>
        <v>26317.874753216238</v>
      </c>
      <c r="G6" s="697">
        <f>'Book Income Statement'!F65</f>
        <v>26244.552327333178</v>
      </c>
      <c r="H6" s="697">
        <f>'Book Income Statement'!G65</f>
        <v>36154.232621668074</v>
      </c>
      <c r="I6" s="697">
        <f>'Book Income Statement'!H65</f>
        <v>43840.396018615051</v>
      </c>
      <c r="J6" s="697">
        <f>'Book Income Statement'!I65</f>
        <v>45209.78365417583</v>
      </c>
      <c r="K6" s="697">
        <f>'Book Income Statement'!J65</f>
        <v>44956.73325543182</v>
      </c>
      <c r="L6" s="697">
        <f>'Book Income Statement'!K65</f>
        <v>45481.925133126919</v>
      </c>
      <c r="M6" s="697">
        <f>'Book Income Statement'!L65</f>
        <v>45997.839505233693</v>
      </c>
      <c r="N6" s="697">
        <f>'Book Income Statement'!M65</f>
        <v>46545.431331248787</v>
      </c>
      <c r="O6" s="697">
        <f>'Book Income Statement'!N65</f>
        <v>47039.649313476752</v>
      </c>
      <c r="P6" s="697">
        <f>'Book Income Statement'!O65</f>
        <v>47521.339313974386</v>
      </c>
      <c r="Q6" s="697">
        <f>'Book Income Statement'!P65</f>
        <v>47989.304857653871</v>
      </c>
      <c r="R6" s="697">
        <f>'Book Income Statement'!Q65</f>
        <v>48484.273238627575</v>
      </c>
      <c r="S6" s="697">
        <f>'Book Income Statement'!R65</f>
        <v>48920.955836148736</v>
      </c>
      <c r="T6" s="697">
        <f>'Book Income Statement'!S65</f>
        <v>49339.951156994808</v>
      </c>
      <c r="U6" s="697">
        <f>'Book Income Statement'!T65</f>
        <v>49739.804950227466</v>
      </c>
      <c r="V6" s="697">
        <f>'Book Income Statement'!U65</f>
        <v>50160.975910923094</v>
      </c>
      <c r="W6" s="697">
        <f>'Book Income Statement'!V65</f>
        <v>50517.895578720461</v>
      </c>
      <c r="X6" s="697">
        <f>'Book Income Statement'!W65</f>
        <v>49661.15609035705</v>
      </c>
      <c r="Y6" s="697">
        <f>'Book Income Statement'!X65</f>
        <v>19281.874712566372</v>
      </c>
      <c r="Z6" s="697">
        <f>'Book Income Statement'!Y65</f>
        <v>0</v>
      </c>
      <c r="AA6" s="697">
        <f>'Book Income Statement'!Z65</f>
        <v>0</v>
      </c>
      <c r="AB6" s="697">
        <f>'Book Income Statement'!AA65</f>
        <v>0</v>
      </c>
      <c r="AC6" s="698">
        <f>'Book Income Statement'!AB65</f>
        <v>0</v>
      </c>
      <c r="AF6" s="27"/>
    </row>
    <row r="7" spans="1:53" s="36" customFormat="1" ht="12.6" customHeight="1">
      <c r="A7" s="359"/>
      <c r="B7" s="700"/>
      <c r="C7" s="346"/>
      <c r="D7" s="363"/>
      <c r="E7" s="363"/>
      <c r="F7" s="363"/>
      <c r="G7" s="363"/>
      <c r="H7" s="363"/>
      <c r="I7" s="363"/>
      <c r="J7" s="363"/>
      <c r="K7" s="363"/>
      <c r="L7" s="363"/>
      <c r="M7" s="363"/>
      <c r="N7" s="363"/>
      <c r="O7" s="363"/>
      <c r="P7" s="363"/>
      <c r="Q7" s="363"/>
      <c r="R7" s="363"/>
      <c r="S7" s="363"/>
      <c r="T7" s="363"/>
      <c r="U7" s="363"/>
      <c r="V7" s="363"/>
      <c r="W7" s="363"/>
      <c r="X7" s="363"/>
      <c r="Y7" s="363"/>
      <c r="Z7" s="363"/>
      <c r="AA7" s="363"/>
      <c r="AB7" s="363"/>
      <c r="AC7" s="384"/>
      <c r="AE7" s="27"/>
    </row>
    <row r="8" spans="1:53" s="705" customFormat="1">
      <c r="A8" s="701" t="s">
        <v>198</v>
      </c>
      <c r="B8" s="339"/>
      <c r="C8" s="339"/>
      <c r="D8" s="339"/>
      <c r="E8" s="702">
        <f>IF(E4&lt;='Project Assumptions'!$F$39,'Project Assumptions'!$F$41,0)</f>
        <v>1.5</v>
      </c>
      <c r="F8" s="702">
        <f>IF(F4&lt;='Project Assumptions'!$F$39,'Project Assumptions'!$F$41,0)</f>
        <v>1.5</v>
      </c>
      <c r="G8" s="702">
        <f>IF(G4&lt;='Project Assumptions'!$F$39,'Project Assumptions'!$F$41,0)</f>
        <v>1.5</v>
      </c>
      <c r="H8" s="702">
        <f>IF(H4&lt;='Project Assumptions'!$F$39,'Project Assumptions'!$F$41,0)</f>
        <v>1.5</v>
      </c>
      <c r="I8" s="702">
        <f>IF(I4&lt;='Project Assumptions'!$F$39,'Project Assumptions'!$F$41,0)</f>
        <v>0</v>
      </c>
      <c r="J8" s="702">
        <f>IF(J4&lt;='Project Assumptions'!$F$39,'Project Assumptions'!$F$41,0)</f>
        <v>0</v>
      </c>
      <c r="K8" s="702">
        <f>IF(K4&lt;='Project Assumptions'!$F$39,'Project Assumptions'!$F$41,0)</f>
        <v>0</v>
      </c>
      <c r="L8" s="702">
        <f>IF(L4&lt;='Project Assumptions'!$F$39,'Project Assumptions'!$F$41,0)</f>
        <v>0</v>
      </c>
      <c r="M8" s="702">
        <f>IF(M4&lt;='Project Assumptions'!$F$39,'Project Assumptions'!$F$41,0)</f>
        <v>0</v>
      </c>
      <c r="N8" s="702">
        <f>IF(N4&lt;='Project Assumptions'!$F$39,'Project Assumptions'!$F$41,0)</f>
        <v>0</v>
      </c>
      <c r="O8" s="702">
        <f>IF(O4&lt;='Project Assumptions'!$F$39,'Project Assumptions'!$F$41,0)</f>
        <v>0</v>
      </c>
      <c r="P8" s="702">
        <f>IF(P4&lt;='Project Assumptions'!$F$39,'Project Assumptions'!$F$41,0)</f>
        <v>0</v>
      </c>
      <c r="Q8" s="702">
        <f>IF(Q4&lt;='Project Assumptions'!$F$39,'Project Assumptions'!$F$41,0)</f>
        <v>0</v>
      </c>
      <c r="R8" s="702">
        <f>IF(R4&lt;='Project Assumptions'!$F$39,'Project Assumptions'!$F$41,0)</f>
        <v>0</v>
      </c>
      <c r="S8" s="702">
        <f>IF(S4&lt;='Project Assumptions'!$F$39,'Project Assumptions'!$F$41,0)</f>
        <v>0</v>
      </c>
      <c r="T8" s="702">
        <f>IF(T4&lt;='Project Assumptions'!$F$39,'Project Assumptions'!$F$41,0)</f>
        <v>0</v>
      </c>
      <c r="U8" s="702">
        <f>IF(U4&lt;='Project Assumptions'!$F$39,'Project Assumptions'!$F$41,0)</f>
        <v>0</v>
      </c>
      <c r="V8" s="702">
        <f>IF(V4&lt;='Project Assumptions'!$F$39,'Project Assumptions'!$F$41,0)</f>
        <v>0</v>
      </c>
      <c r="W8" s="702">
        <f>IF(W4&lt;='Project Assumptions'!$F$39,'Project Assumptions'!$F$41,0)</f>
        <v>0</v>
      </c>
      <c r="X8" s="702">
        <f>IF(X4&lt;='Project Assumptions'!$F$39,'Project Assumptions'!$F$41,0)</f>
        <v>0</v>
      </c>
      <c r="Y8" s="702">
        <f>IF(Y4&lt;='Project Assumptions'!$F$39,'Project Assumptions'!$F$41,0)</f>
        <v>0</v>
      </c>
      <c r="Z8" s="702">
        <f>IF(Z4&lt;='Project Assumptions'!$F$39,'Project Assumptions'!$F$41,0)</f>
        <v>0</v>
      </c>
      <c r="AA8" s="702">
        <f>IF(AA4&lt;='Project Assumptions'!$F$39,'Project Assumptions'!$F$41,0)</f>
        <v>0</v>
      </c>
      <c r="AB8" s="702">
        <f>IF(AB4&lt;='Project Assumptions'!$F$39,'Project Assumptions'!$F$41,0)</f>
        <v>0</v>
      </c>
      <c r="AC8" s="703">
        <f>IF(AC4&lt;='Project Assumptions'!$F$39,'Project Assumptions'!$F$41,0)</f>
        <v>0</v>
      </c>
      <c r="AD8" s="704"/>
    </row>
    <row r="9" spans="1:53" s="705" customFormat="1">
      <c r="A9" s="701" t="s">
        <v>199</v>
      </c>
      <c r="B9" s="339"/>
      <c r="C9" s="339"/>
      <c r="D9" s="339"/>
      <c r="E9" s="702">
        <f>IF(AND(E4&gt;'Project Assumptions'!$F$39,E4&lt;='Project Assumptions'!$G$39),'Project Assumptions'!$G$41,0)</f>
        <v>0</v>
      </c>
      <c r="F9" s="702">
        <f>IF(AND(F4&gt;'Project Assumptions'!$F$39,F4&lt;='Project Assumptions'!$G$39),'Project Assumptions'!$G$41,0)</f>
        <v>0</v>
      </c>
      <c r="G9" s="702">
        <f>IF(AND(G4&gt;'Project Assumptions'!$F$39,G4&lt;='Project Assumptions'!$G$39),'Project Assumptions'!$G$41,0)</f>
        <v>0</v>
      </c>
      <c r="H9" s="702">
        <f>IF(AND(H4&gt;'Project Assumptions'!$F$39,H4&lt;='Project Assumptions'!$G$39),'Project Assumptions'!$G$41,0)</f>
        <v>0</v>
      </c>
      <c r="I9" s="702">
        <f>IF(AND(I4&gt;'Project Assumptions'!$F$39,I4&lt;='Project Assumptions'!$G$39),'Project Assumptions'!$G$41,0)</f>
        <v>2.5</v>
      </c>
      <c r="J9" s="702">
        <f>IF(AND(J4&gt;'Project Assumptions'!$F$39,J4&lt;='Project Assumptions'!$G$39),'Project Assumptions'!$G$41,0)</f>
        <v>2.5</v>
      </c>
      <c r="K9" s="702">
        <f>IF(AND(K4&gt;'Project Assumptions'!$F$39,K4&lt;='Project Assumptions'!$G$39),'Project Assumptions'!$G$41,0)</f>
        <v>2.5</v>
      </c>
      <c r="L9" s="702">
        <f>IF(AND(L4&gt;'Project Assumptions'!$F$39,L4&lt;='Project Assumptions'!$G$39),'Project Assumptions'!$G$41,0)</f>
        <v>2.5</v>
      </c>
      <c r="M9" s="702">
        <f>IF(AND(M4&gt;'Project Assumptions'!$F$39,M4&lt;='Project Assumptions'!$G$39),'Project Assumptions'!$G$41,0)</f>
        <v>2.5</v>
      </c>
      <c r="N9" s="702">
        <f>IF(AND(N4&gt;'Project Assumptions'!$F$39,N4&lt;='Project Assumptions'!$G$39),'Project Assumptions'!$G$41,0)</f>
        <v>2.5</v>
      </c>
      <c r="O9" s="702">
        <f>IF(AND(O4&gt;'Project Assumptions'!$F$39,O4&lt;='Project Assumptions'!$G$39),'Project Assumptions'!$G$41,0)</f>
        <v>0</v>
      </c>
      <c r="P9" s="702">
        <f>IF(AND(P4&gt;'Project Assumptions'!$F$39,P4&lt;='Project Assumptions'!$G$39),'Project Assumptions'!$G$41,0)</f>
        <v>0</v>
      </c>
      <c r="Q9" s="702">
        <f>IF(AND(Q4&gt;'Project Assumptions'!$F$39,Q4&lt;='Project Assumptions'!$G$39),'Project Assumptions'!$G$41,0)</f>
        <v>0</v>
      </c>
      <c r="R9" s="702">
        <f>IF(AND(R4&gt;'Project Assumptions'!$F$39,R4&lt;='Project Assumptions'!$G$39),'Project Assumptions'!$G$41,0)</f>
        <v>0</v>
      </c>
      <c r="S9" s="702">
        <f>IF(AND(S4&gt;'Project Assumptions'!$F$39,S4&lt;='Project Assumptions'!$G$39),'Project Assumptions'!$G$41,0)</f>
        <v>0</v>
      </c>
      <c r="T9" s="702">
        <f>IF(AND(T4&gt;'Project Assumptions'!$F$39,T4&lt;='Project Assumptions'!$G$39),'Project Assumptions'!$G$41,0)</f>
        <v>0</v>
      </c>
      <c r="U9" s="702">
        <f>IF(AND(U4&gt;'Project Assumptions'!$F$39,U4&lt;='Project Assumptions'!$G$39),'Project Assumptions'!$G$41,0)</f>
        <v>0</v>
      </c>
      <c r="V9" s="702">
        <f>IF(AND(V4&gt;'Project Assumptions'!$F$39,V4&lt;='Project Assumptions'!$G$39),'Project Assumptions'!$G$41,0)</f>
        <v>0</v>
      </c>
      <c r="W9" s="702">
        <f>IF(AND(W4&gt;'Project Assumptions'!$F$39,W4&lt;='Project Assumptions'!$G$39),'Project Assumptions'!$G$41,0)</f>
        <v>0</v>
      </c>
      <c r="X9" s="702">
        <f>IF(AND(X4&gt;'Project Assumptions'!$F$39,X4&lt;='Project Assumptions'!$G$39),'Project Assumptions'!$G$41,0)</f>
        <v>0</v>
      </c>
      <c r="Y9" s="702">
        <f>IF(AND(Y4&gt;'Project Assumptions'!$F$39,Y4&lt;='Project Assumptions'!$G$39),'Project Assumptions'!$G$41,0)</f>
        <v>0</v>
      </c>
      <c r="Z9" s="702">
        <f>IF(AND(Z4&gt;'Project Assumptions'!$F$39,Z4&lt;='Project Assumptions'!$G$39),'Project Assumptions'!$G$41,0)</f>
        <v>0</v>
      </c>
      <c r="AA9" s="702">
        <f>IF(AND(AA4&gt;'Project Assumptions'!$F$39,AA4&lt;='Project Assumptions'!$G$39),'Project Assumptions'!$G$41,0)</f>
        <v>0</v>
      </c>
      <c r="AB9" s="702">
        <f>IF(AND(AB4&gt;'Project Assumptions'!$F$39,AB4&lt;='Project Assumptions'!$G$39),'Project Assumptions'!$G$41,0)</f>
        <v>0</v>
      </c>
      <c r="AC9" s="703">
        <f>IF(AND(AC4&gt;'Project Assumptions'!$F$39,AC4&lt;='Project Assumptions'!$G$39),'Project Assumptions'!$G$41,0)</f>
        <v>0</v>
      </c>
      <c r="AD9" s="704"/>
    </row>
    <row r="10" spans="1:53" s="705" customFormat="1">
      <c r="A10" s="701" t="s">
        <v>200</v>
      </c>
      <c r="B10" s="339"/>
      <c r="C10" s="339"/>
      <c r="D10" s="339"/>
      <c r="E10" s="702">
        <f>IF(AND(E4&gt;'Project Assumptions'!$G$39,E4&lt;='Project Assumptions'!$H$39),'Project Assumptions'!$H$41,0)</f>
        <v>0</v>
      </c>
      <c r="F10" s="702">
        <f>IF(AND(F4&gt;'Project Assumptions'!$G$39,F4&lt;='Project Assumptions'!$H$39),'Project Assumptions'!$H$41,0)</f>
        <v>0</v>
      </c>
      <c r="G10" s="702">
        <f>IF(AND(G4&gt;'Project Assumptions'!$G$39,G4&lt;='Project Assumptions'!$H$39),'Project Assumptions'!$H$41,0)</f>
        <v>0</v>
      </c>
      <c r="H10" s="702">
        <f>IF(AND(H4&gt;'Project Assumptions'!$G$39,H4&lt;='Project Assumptions'!$H$39),'Project Assumptions'!$H$41,0)</f>
        <v>0</v>
      </c>
      <c r="I10" s="702">
        <f>IF(AND(I4&gt;'Project Assumptions'!$G$39,I4&lt;='Project Assumptions'!$H$39),'Project Assumptions'!$H$41,0)</f>
        <v>0</v>
      </c>
      <c r="J10" s="702">
        <f>IF(AND(J4&gt;'Project Assumptions'!$G$39,J4&lt;='Project Assumptions'!$H$39),'Project Assumptions'!$H$41,0)</f>
        <v>0</v>
      </c>
      <c r="K10" s="702">
        <f>IF(AND(K4&gt;'Project Assumptions'!$G$39,K4&lt;='Project Assumptions'!$H$39),'Project Assumptions'!$H$41,0)</f>
        <v>0</v>
      </c>
      <c r="L10" s="702">
        <f>IF(AND(L4&gt;'Project Assumptions'!$G$39,L4&lt;='Project Assumptions'!$H$39),'Project Assumptions'!$H$41,0)</f>
        <v>0</v>
      </c>
      <c r="M10" s="702">
        <f>IF(AND(M4&gt;'Project Assumptions'!$G$39,M4&lt;='Project Assumptions'!$H$39),'Project Assumptions'!$H$41,0)</f>
        <v>0</v>
      </c>
      <c r="N10" s="702">
        <f>IF(AND(N4&gt;'Project Assumptions'!$G$39,N4&lt;='Project Assumptions'!$H$39),'Project Assumptions'!$H$41,0)</f>
        <v>0</v>
      </c>
      <c r="O10" s="702">
        <f>IF(AND(O4&gt;'Project Assumptions'!$G$39,O4&lt;='Project Assumptions'!$H$39),'Project Assumptions'!$H$41,0)</f>
        <v>2.5</v>
      </c>
      <c r="P10" s="702">
        <f>IF(AND(P4&gt;'Project Assumptions'!$G$39,P4&lt;='Project Assumptions'!$H$39),'Project Assumptions'!$H$41,0)</f>
        <v>2.5</v>
      </c>
      <c r="Q10" s="702">
        <f>IF(AND(Q4&gt;'Project Assumptions'!$G$39,Q4&lt;='Project Assumptions'!$H$39),'Project Assumptions'!$H$41,0)</f>
        <v>2.5</v>
      </c>
      <c r="R10" s="702">
        <f>IF(AND(R4&gt;'Project Assumptions'!$G$39,R4&lt;='Project Assumptions'!$H$39),'Project Assumptions'!$H$41,0)</f>
        <v>2.5</v>
      </c>
      <c r="S10" s="702">
        <f>IF(AND(S4&gt;'Project Assumptions'!$G$39,S4&lt;='Project Assumptions'!$H$39),'Project Assumptions'!$H$41,0)</f>
        <v>2.5</v>
      </c>
      <c r="T10" s="702">
        <f>IF(AND(T4&gt;'Project Assumptions'!$G$39,T4&lt;='Project Assumptions'!$H$39),'Project Assumptions'!$H$41,0)</f>
        <v>2.5</v>
      </c>
      <c r="U10" s="702">
        <f>IF(AND(U4&gt;'Project Assumptions'!$G$39,U4&lt;='Project Assumptions'!$H$39),'Project Assumptions'!$H$41,0)</f>
        <v>2.5</v>
      </c>
      <c r="V10" s="702">
        <f>IF(AND(V4&gt;'Project Assumptions'!$G$39,V4&lt;='Project Assumptions'!$H$39),'Project Assumptions'!$H$41,0)</f>
        <v>2.5</v>
      </c>
      <c r="W10" s="702">
        <f>IF(AND(W4&gt;'Project Assumptions'!$G$39,W4&lt;='Project Assumptions'!$H$39),'Project Assumptions'!$H$41,0)</f>
        <v>2.5</v>
      </c>
      <c r="X10" s="702">
        <f>IF(AND(X4&gt;'Project Assumptions'!$G$39,X4&lt;='Project Assumptions'!$H$39),'Project Assumptions'!$H$41,0)</f>
        <v>2.5</v>
      </c>
      <c r="Y10" s="702">
        <f>IF(AND(Y4&gt;'Project Assumptions'!$G$39,Y4&lt;='Project Assumptions'!$H$39),'Project Assumptions'!$H$41,0)</f>
        <v>0</v>
      </c>
      <c r="Z10" s="702">
        <f>IF(AND(Z4&gt;'Project Assumptions'!$G$39,Z4&lt;='Project Assumptions'!$H$39),'Project Assumptions'!$H$41,0)</f>
        <v>0</v>
      </c>
      <c r="AA10" s="702">
        <f>IF(AND(AA4&gt;'Project Assumptions'!$G$39,AA4&lt;='Project Assumptions'!$H$39),'Project Assumptions'!$H$41,0)</f>
        <v>0</v>
      </c>
      <c r="AB10" s="702">
        <f>IF(AND(AB4&gt;'Project Assumptions'!$G$39,AB4&lt;='Project Assumptions'!$H$39),'Project Assumptions'!$H$41,0)</f>
        <v>0</v>
      </c>
      <c r="AC10" s="703">
        <f>IF(AND(AC4&gt;'Project Assumptions'!$G$39,AC4&lt;='Project Assumptions'!$H$39),'Project Assumptions'!$H$41,0)</f>
        <v>0</v>
      </c>
      <c r="AD10" s="704"/>
    </row>
    <row r="11" spans="1:53" s="705" customFormat="1">
      <c r="A11" s="701"/>
      <c r="B11" s="339"/>
      <c r="C11" s="339"/>
      <c r="D11" s="339"/>
      <c r="E11" s="702"/>
      <c r="F11" s="702"/>
      <c r="G11" s="702"/>
      <c r="H11" s="702"/>
      <c r="I11" s="702"/>
      <c r="J11" s="702"/>
      <c r="K11" s="702"/>
      <c r="L11" s="702"/>
      <c r="M11" s="702"/>
      <c r="N11" s="702"/>
      <c r="O11" s="702"/>
      <c r="P11" s="702"/>
      <c r="Q11" s="702"/>
      <c r="R11" s="702"/>
      <c r="S11" s="702"/>
      <c r="T11" s="702"/>
      <c r="U11" s="702"/>
      <c r="V11" s="702"/>
      <c r="W11" s="702"/>
      <c r="X11" s="702"/>
      <c r="Y11" s="702"/>
      <c r="Z11" s="702"/>
      <c r="AA11" s="702"/>
      <c r="AB11" s="702"/>
      <c r="AC11" s="703"/>
      <c r="AD11" s="704"/>
    </row>
    <row r="12" spans="1:53" s="705" customFormat="1">
      <c r="A12" s="701" t="s">
        <v>201</v>
      </c>
      <c r="B12" s="339"/>
      <c r="C12" s="339"/>
      <c r="D12" s="339"/>
      <c r="E12" s="706">
        <f>IF(E4&lt;='Project Assumptions'!$F$39,'Project Assumptions'!$F$40,0)</f>
        <v>6.7299999999999999E-2</v>
      </c>
      <c r="F12" s="706">
        <f>IF(F4&lt;='Project Assumptions'!$F$39,'Project Assumptions'!$F$40,0)</f>
        <v>6.7299999999999999E-2</v>
      </c>
      <c r="G12" s="706">
        <f>IF(G4&lt;='Project Assumptions'!$F$39,'Project Assumptions'!$F$40,0)</f>
        <v>6.7299999999999999E-2</v>
      </c>
      <c r="H12" s="706">
        <f>IF(H4&lt;='Project Assumptions'!$F$39,'Project Assumptions'!$F$40,0)</f>
        <v>6.7299999999999999E-2</v>
      </c>
      <c r="I12" s="706">
        <f>IF(I4&lt;='Project Assumptions'!$F$39,'Project Assumptions'!$F$40,0)</f>
        <v>0</v>
      </c>
      <c r="J12" s="706">
        <f>IF(J4&lt;='Project Assumptions'!$F$39,'Project Assumptions'!$F$40,0)</f>
        <v>0</v>
      </c>
      <c r="K12" s="706">
        <f>IF(K4&lt;='Project Assumptions'!$F$39,'Project Assumptions'!$F$40,0)</f>
        <v>0</v>
      </c>
      <c r="L12" s="706">
        <f>IF(L4&lt;='Project Assumptions'!$F$39,'Project Assumptions'!$F$40,0)</f>
        <v>0</v>
      </c>
      <c r="M12" s="706">
        <f>IF(M4&lt;='Project Assumptions'!$F$39,'Project Assumptions'!$F$40,0)</f>
        <v>0</v>
      </c>
      <c r="N12" s="706">
        <f>IF(N4&lt;='Project Assumptions'!$F$39,'Project Assumptions'!$F$40,0)</f>
        <v>0</v>
      </c>
      <c r="O12" s="706">
        <f>IF(O4&lt;='Project Assumptions'!$F$39,'Project Assumptions'!$F$40,0)</f>
        <v>0</v>
      </c>
      <c r="P12" s="706">
        <f>IF(P4&lt;='Project Assumptions'!$F$39,'Project Assumptions'!$F$40,0)</f>
        <v>0</v>
      </c>
      <c r="Q12" s="706">
        <f>IF(Q4&lt;='Project Assumptions'!$F$39,'Project Assumptions'!$F$40,0)</f>
        <v>0</v>
      </c>
      <c r="R12" s="706">
        <f>IF(R4&lt;='Project Assumptions'!$F$39,'Project Assumptions'!$F$40,0)</f>
        <v>0</v>
      </c>
      <c r="S12" s="706">
        <f>IF(S4&lt;='Project Assumptions'!$F$39,'Project Assumptions'!$F$40,0)</f>
        <v>0</v>
      </c>
      <c r="T12" s="706">
        <f>IF(T4&lt;='Project Assumptions'!$F$39,'Project Assumptions'!$F$40,0)</f>
        <v>0</v>
      </c>
      <c r="U12" s="706">
        <f>IF(U4&lt;='Project Assumptions'!$F$39,'Project Assumptions'!$F$40,0)</f>
        <v>0</v>
      </c>
      <c r="V12" s="706">
        <f>IF(V4&lt;='Project Assumptions'!$F$39,'Project Assumptions'!$F$40,0)</f>
        <v>0</v>
      </c>
      <c r="W12" s="706">
        <f>IF(W4&lt;='Project Assumptions'!$F$39,'Project Assumptions'!$F$40,0)</f>
        <v>0</v>
      </c>
      <c r="X12" s="706">
        <f>IF(X4&lt;='Project Assumptions'!$F$39,'Project Assumptions'!$F$40,0)</f>
        <v>0</v>
      </c>
      <c r="Y12" s="706">
        <f>IF(Y4&lt;='Project Assumptions'!$F$39,'Project Assumptions'!$F$40,0)</f>
        <v>0</v>
      </c>
      <c r="Z12" s="706">
        <f>IF(Z4&lt;='Project Assumptions'!$F$39,'Project Assumptions'!$F$40,0)</f>
        <v>0</v>
      </c>
      <c r="AA12" s="706">
        <f>IF(AA4&lt;='Project Assumptions'!$F$39,'Project Assumptions'!$F$40,0)</f>
        <v>0</v>
      </c>
      <c r="AB12" s="706">
        <f>IF(AB4&lt;='Project Assumptions'!$F$39,'Project Assumptions'!$F$40,0)</f>
        <v>0</v>
      </c>
      <c r="AC12" s="707">
        <f>IF(AC4&lt;='Project Assumptions'!$F$39,'Project Assumptions'!$F$40,0)</f>
        <v>0</v>
      </c>
    </row>
    <row r="13" spans="1:53" s="705" customFormat="1">
      <c r="A13" s="701" t="s">
        <v>202</v>
      </c>
      <c r="B13" s="339"/>
      <c r="C13" s="339"/>
      <c r="D13" s="339"/>
      <c r="E13" s="706">
        <f>IF('Project Assumptions'!$G$39=0,0,IF(E4&lt;='Project Assumptions'!$G$39,'Project Assumptions'!$G$40,0))</f>
        <v>7.5700000000000003E-2</v>
      </c>
      <c r="F13" s="706">
        <f>IF('Project Assumptions'!$G$39=0,0,IF(F4&lt;='Project Assumptions'!$G$39,'Project Assumptions'!$G$40,0))</f>
        <v>7.5700000000000003E-2</v>
      </c>
      <c r="G13" s="706">
        <f>IF('Project Assumptions'!$G$39=0,0,IF(G4&lt;='Project Assumptions'!$G$39,'Project Assumptions'!$G$40,0))</f>
        <v>7.5700000000000003E-2</v>
      </c>
      <c r="H13" s="706">
        <f>IF('Project Assumptions'!$G$39=0,0,IF(H4&lt;='Project Assumptions'!$G$39,'Project Assumptions'!$G$40,0))</f>
        <v>7.5700000000000003E-2</v>
      </c>
      <c r="I13" s="706">
        <f>IF('Project Assumptions'!$G$39=0,0,IF(I4&lt;='Project Assumptions'!$G$39,'Project Assumptions'!$G$40,0))</f>
        <v>7.5700000000000003E-2</v>
      </c>
      <c r="J13" s="706">
        <f>IF('Project Assumptions'!$G$39=0,0,IF(J4&lt;='Project Assumptions'!$G$39,'Project Assumptions'!$G$40,0))</f>
        <v>7.5700000000000003E-2</v>
      </c>
      <c r="K13" s="706">
        <f>IF('Project Assumptions'!$G$39=0,0,IF(K4&lt;='Project Assumptions'!$G$39,'Project Assumptions'!$G$40,0))</f>
        <v>7.5700000000000003E-2</v>
      </c>
      <c r="L13" s="706">
        <f>IF('Project Assumptions'!$G$39=0,0,IF(L4&lt;='Project Assumptions'!$G$39,'Project Assumptions'!$G$40,0))</f>
        <v>7.5700000000000003E-2</v>
      </c>
      <c r="M13" s="706">
        <f>IF('Project Assumptions'!$G$39=0,0,IF(M4&lt;='Project Assumptions'!$G$39,'Project Assumptions'!$G$40,0))</f>
        <v>7.5700000000000003E-2</v>
      </c>
      <c r="N13" s="706">
        <f>IF('Project Assumptions'!$G$39=0,0,IF(N4&lt;='Project Assumptions'!$G$39,'Project Assumptions'!$G$40,0))</f>
        <v>7.5700000000000003E-2</v>
      </c>
      <c r="O13" s="706">
        <f>IF('Project Assumptions'!$G$39=0,0,IF(O4&lt;='Project Assumptions'!$G$39,'Project Assumptions'!$G$40,0))</f>
        <v>0</v>
      </c>
      <c r="P13" s="706">
        <f>IF('Project Assumptions'!$G$39=0,0,IF(P4&lt;='Project Assumptions'!$G$39,'Project Assumptions'!$G$40,0))</f>
        <v>0</v>
      </c>
      <c r="Q13" s="706">
        <f>IF('Project Assumptions'!$G$39=0,0,IF(Q4&lt;='Project Assumptions'!$G$39,'Project Assumptions'!$G$40,0))</f>
        <v>0</v>
      </c>
      <c r="R13" s="706">
        <f>IF('Project Assumptions'!$G$39=0,0,IF(R4&lt;='Project Assumptions'!$G$39,'Project Assumptions'!$G$40,0))</f>
        <v>0</v>
      </c>
      <c r="S13" s="706">
        <f>IF('Project Assumptions'!$G$39=0,0,IF(S4&lt;='Project Assumptions'!$G$39,'Project Assumptions'!$G$40,0))</f>
        <v>0</v>
      </c>
      <c r="T13" s="706">
        <f>IF('Project Assumptions'!$G$39=0,0,IF(T4&lt;='Project Assumptions'!$G$39,'Project Assumptions'!$G$40,0))</f>
        <v>0</v>
      </c>
      <c r="U13" s="706">
        <f>IF('Project Assumptions'!$G$39=0,0,IF(U4&lt;='Project Assumptions'!$G$39,'Project Assumptions'!$G$40,0))</f>
        <v>0</v>
      </c>
      <c r="V13" s="706">
        <f>IF('Project Assumptions'!$G$39=0,0,IF(V4&lt;='Project Assumptions'!$G$39,'Project Assumptions'!$G$40,0))</f>
        <v>0</v>
      </c>
      <c r="W13" s="706">
        <f>IF('Project Assumptions'!$G$39=0,0,IF(W4&lt;='Project Assumptions'!$G$39,'Project Assumptions'!$G$40,0))</f>
        <v>0</v>
      </c>
      <c r="X13" s="706">
        <f>IF('Project Assumptions'!$G$39=0,0,IF(X4&lt;='Project Assumptions'!$G$39,'Project Assumptions'!$G$40,0))</f>
        <v>0</v>
      </c>
      <c r="Y13" s="706">
        <f>IF('Project Assumptions'!$G$39=0,0,IF(Y4&lt;='Project Assumptions'!$G$39,'Project Assumptions'!$G$40,0))</f>
        <v>0</v>
      </c>
      <c r="Z13" s="706">
        <f>IF('Project Assumptions'!$G$39=0,0,IF(Z4&lt;='Project Assumptions'!$G$39,'Project Assumptions'!$G$40,0))</f>
        <v>0</v>
      </c>
      <c r="AA13" s="706">
        <f>IF('Project Assumptions'!$G$39=0,0,IF(AA4&lt;='Project Assumptions'!$G$39,'Project Assumptions'!$G$40,0))</f>
        <v>0</v>
      </c>
      <c r="AB13" s="706">
        <f>IF('Project Assumptions'!$G$39=0,0,IF(AB4&lt;='Project Assumptions'!$G$39,'Project Assumptions'!$G$40,0))</f>
        <v>0</v>
      </c>
      <c r="AC13" s="707">
        <f>IF('Project Assumptions'!$G$39=0,0,IF(AC4&lt;='Project Assumptions'!$G$39,'Project Assumptions'!$G$40,0))</f>
        <v>0</v>
      </c>
    </row>
    <row r="14" spans="1:53" s="705" customFormat="1">
      <c r="A14" s="701" t="s">
        <v>203</v>
      </c>
      <c r="B14" s="339"/>
      <c r="C14" s="339"/>
      <c r="D14" s="339"/>
      <c r="E14" s="706">
        <f>IF('Project Assumptions'!$H$39=0,0,IF(E4&lt;='Project Assumptions'!$H$39,'Project Assumptions'!$H$40,0))</f>
        <v>8.1799999999999998E-2</v>
      </c>
      <c r="F14" s="706">
        <f>IF('Project Assumptions'!$H$39=0,0,IF(F4&lt;='Project Assumptions'!$H$39,'Project Assumptions'!$H$40,0))</f>
        <v>8.1799999999999998E-2</v>
      </c>
      <c r="G14" s="706">
        <f>IF('Project Assumptions'!$H$39=0,0,IF(G4&lt;='Project Assumptions'!$H$39,'Project Assumptions'!$H$40,0))</f>
        <v>8.1799999999999998E-2</v>
      </c>
      <c r="H14" s="706">
        <f>IF('Project Assumptions'!$H$39=0,0,IF(H4&lt;='Project Assumptions'!$H$39,'Project Assumptions'!$H$40,0))</f>
        <v>8.1799999999999998E-2</v>
      </c>
      <c r="I14" s="706">
        <f>IF('Project Assumptions'!$H$39=0,0,IF(I4&lt;='Project Assumptions'!$H$39,'Project Assumptions'!$H$40,0))</f>
        <v>8.1799999999999998E-2</v>
      </c>
      <c r="J14" s="706">
        <f>IF('Project Assumptions'!$H$39=0,0,IF(J4&lt;='Project Assumptions'!$H$39,'Project Assumptions'!$H$40,0))</f>
        <v>8.1799999999999998E-2</v>
      </c>
      <c r="K14" s="706">
        <f>IF('Project Assumptions'!$H$39=0,0,IF(K4&lt;='Project Assumptions'!$H$39,'Project Assumptions'!$H$40,0))</f>
        <v>8.1799999999999998E-2</v>
      </c>
      <c r="L14" s="706">
        <f>IF('Project Assumptions'!$H$39=0,0,IF(L4&lt;='Project Assumptions'!$H$39,'Project Assumptions'!$H$40,0))</f>
        <v>8.1799999999999998E-2</v>
      </c>
      <c r="M14" s="706">
        <f>IF('Project Assumptions'!$H$39=0,0,IF(M4&lt;='Project Assumptions'!$H$39,'Project Assumptions'!$H$40,0))</f>
        <v>8.1799999999999998E-2</v>
      </c>
      <c r="N14" s="706">
        <f>IF('Project Assumptions'!$H$39=0,0,IF(N4&lt;='Project Assumptions'!$H$39,'Project Assumptions'!$H$40,0))</f>
        <v>8.1799999999999998E-2</v>
      </c>
      <c r="O14" s="706">
        <f>IF('Project Assumptions'!$H$39=0,0,IF(O4&lt;='Project Assumptions'!$H$39,'Project Assumptions'!$H$40,0))</f>
        <v>8.1799999999999998E-2</v>
      </c>
      <c r="P14" s="706">
        <f>IF('Project Assumptions'!$H$39=0,0,IF(P4&lt;='Project Assumptions'!$H$39,'Project Assumptions'!$H$40,0))</f>
        <v>8.1799999999999998E-2</v>
      </c>
      <c r="Q14" s="706">
        <f>IF('Project Assumptions'!$H$39=0,0,IF(Q4&lt;='Project Assumptions'!$H$39,'Project Assumptions'!$H$40,0))</f>
        <v>8.1799999999999998E-2</v>
      </c>
      <c r="R14" s="706">
        <f>IF('Project Assumptions'!$H$39=0,0,IF(R4&lt;='Project Assumptions'!$H$39,'Project Assumptions'!$H$40,0))</f>
        <v>8.1799999999999998E-2</v>
      </c>
      <c r="S14" s="706">
        <f>IF('Project Assumptions'!$H$39=0,0,IF(S4&lt;='Project Assumptions'!$H$39,'Project Assumptions'!$H$40,0))</f>
        <v>8.1799999999999998E-2</v>
      </c>
      <c r="T14" s="706">
        <f>IF('Project Assumptions'!$H$39=0,0,IF(T4&lt;='Project Assumptions'!$H$39,'Project Assumptions'!$H$40,0))</f>
        <v>8.1799999999999998E-2</v>
      </c>
      <c r="U14" s="706">
        <f>IF('Project Assumptions'!$H$39=0,0,IF(U4&lt;='Project Assumptions'!$H$39,'Project Assumptions'!$H$40,0))</f>
        <v>8.1799999999999998E-2</v>
      </c>
      <c r="V14" s="706">
        <f>IF('Project Assumptions'!$H$39=0,0,IF(V4&lt;='Project Assumptions'!$H$39,'Project Assumptions'!$H$40,0))</f>
        <v>8.1799999999999998E-2</v>
      </c>
      <c r="W14" s="706">
        <f>IF('Project Assumptions'!$H$39=0,0,IF(W4&lt;='Project Assumptions'!$H$39,'Project Assumptions'!$H$40,0))</f>
        <v>8.1799999999999998E-2</v>
      </c>
      <c r="X14" s="706">
        <f>IF('Project Assumptions'!$H$39=0,0,IF(X4&lt;='Project Assumptions'!$H$39,'Project Assumptions'!$H$40,0))</f>
        <v>8.1799999999999998E-2</v>
      </c>
      <c r="Y14" s="706">
        <f>IF('Project Assumptions'!$H$39=0,0,IF(Y4&lt;='Project Assumptions'!$H$39,'Project Assumptions'!$H$40,0))</f>
        <v>0</v>
      </c>
      <c r="Z14" s="706">
        <f>IF('Project Assumptions'!$H$39=0,0,IF(Z4&lt;='Project Assumptions'!$H$39,'Project Assumptions'!$H$40,0))</f>
        <v>0</v>
      </c>
      <c r="AA14" s="706">
        <f>IF('Project Assumptions'!$H$39=0,0,IF(AA4&lt;='Project Assumptions'!$H$39,'Project Assumptions'!$H$40,0))</f>
        <v>0</v>
      </c>
      <c r="AB14" s="706">
        <f>IF('Project Assumptions'!$H$39=0,0,IF(AB4&lt;='Project Assumptions'!$H$39,'Project Assumptions'!$H$40,0))</f>
        <v>0</v>
      </c>
      <c r="AC14" s="707">
        <f>IF('Project Assumptions'!$H$39=0,0,IF(AC4&lt;='Project Assumptions'!$H$39,'Project Assumptions'!$H$40,0))</f>
        <v>0</v>
      </c>
    </row>
    <row r="15" spans="1:53" s="705" customFormat="1">
      <c r="A15" s="701"/>
      <c r="B15" s="339"/>
      <c r="C15" s="339"/>
      <c r="D15" s="708"/>
      <c r="E15" s="708"/>
      <c r="F15" s="708"/>
      <c r="G15" s="708"/>
      <c r="H15" s="708"/>
      <c r="I15" s="708"/>
      <c r="J15" s="708"/>
      <c r="K15" s="708"/>
      <c r="L15" s="708"/>
      <c r="M15" s="708"/>
      <c r="N15" s="708"/>
      <c r="O15" s="708"/>
      <c r="P15" s="708"/>
      <c r="Q15" s="708"/>
      <c r="R15" s="708"/>
      <c r="S15" s="708"/>
      <c r="T15" s="708"/>
      <c r="U15" s="708"/>
      <c r="V15" s="708"/>
      <c r="W15" s="708"/>
      <c r="X15" s="708"/>
      <c r="Y15" s="708"/>
      <c r="Z15" s="708"/>
      <c r="AA15" s="708"/>
      <c r="AB15" s="708"/>
      <c r="AC15" s="709"/>
    </row>
    <row r="16" spans="1:53" s="705" customFormat="1">
      <c r="A16" s="710" t="s">
        <v>235</v>
      </c>
      <c r="B16" s="339"/>
      <c r="C16" s="339"/>
      <c r="D16" s="339"/>
      <c r="E16" s="697">
        <f>IF(E4&gt;MAX('Project Assumptions'!$F$39,'Project Assumptions'!$G$39,'Project Assumptions'!$H$39),0,IF(E4&lt;='Project Assumptions'!$F$39,E6/E8,IF(E4&lt;='Project Assumptions'!$G$39,E6/E9,E6/E10)))</f>
        <v>10102.694273508629</v>
      </c>
      <c r="F16" s="697">
        <f>IF(F4&gt;MAX('Project Assumptions'!$F$39,'Project Assumptions'!$G$39,'Project Assumptions'!$H$39),0,IF(F4&lt;='Project Assumptions'!$F$39,F6/F8,IF(F4&lt;='Project Assumptions'!$G$39,F6/F9,F6/F10)))</f>
        <v>17545.249835477491</v>
      </c>
      <c r="G16" s="697">
        <f>IF(G4&gt;MAX('Project Assumptions'!$F$39,'Project Assumptions'!$G$39,'Project Assumptions'!$H$39),0,IF(G4&lt;='Project Assumptions'!$F$39,G6/G8,IF(G4&lt;='Project Assumptions'!$G$39,G6/G9,G6/G10)))</f>
        <v>17496.36821822212</v>
      </c>
      <c r="H16" s="697">
        <f>IF(H4&gt;MAX('Project Assumptions'!$F$39,'Project Assumptions'!$G$39,'Project Assumptions'!$H$39),0,IF(H4&lt;='Project Assumptions'!$F$39,H6/H8,IF(H4&lt;='Project Assumptions'!$G$39,H6/H9,H6/H10)))</f>
        <v>24102.821747778715</v>
      </c>
      <c r="I16" s="697">
        <f>IF(I4&gt;MAX('Project Assumptions'!$F$39,'Project Assumptions'!$G$39,'Project Assumptions'!$H$39),0,IF(I4&lt;='Project Assumptions'!$F$39,I6/I8,IF(I4&lt;='Project Assumptions'!$G$39,I6/I9,I6/I10)))</f>
        <v>17536.158407446019</v>
      </c>
      <c r="J16" s="697">
        <f>IF(J4&gt;MAX('Project Assumptions'!$F$39,'Project Assumptions'!$G$39,'Project Assumptions'!$H$39),0,IF(J4&lt;='Project Assumptions'!$F$39,J6/J8,IF(J4&lt;='Project Assumptions'!$G$39,J6/J9,J6/J10)))</f>
        <v>18083.91346167033</v>
      </c>
      <c r="K16" s="697">
        <f>IF(K4&gt;MAX('Project Assumptions'!$F$39,'Project Assumptions'!$G$39,'Project Assumptions'!$H$39),0,IF(K4&lt;='Project Assumptions'!$F$39,K6/K8,IF(K4&lt;='Project Assumptions'!$G$39,K6/K9,K6/K10)))</f>
        <v>17982.693302172727</v>
      </c>
      <c r="L16" s="697">
        <f>IF(L4&gt;MAX('Project Assumptions'!$F$39,'Project Assumptions'!$G$39,'Project Assumptions'!$H$39),0,IF(L4&lt;='Project Assumptions'!$F$39,L6/L8,IF(L4&lt;='Project Assumptions'!$G$39,L6/L9,L6/L10)))</f>
        <v>18192.770053250766</v>
      </c>
      <c r="M16" s="697">
        <f>IF(M4&gt;MAX('Project Assumptions'!$F$39,'Project Assumptions'!$G$39,'Project Assumptions'!$H$39),0,IF(M4&lt;='Project Assumptions'!$F$39,M6/M8,IF(M4&lt;='Project Assumptions'!$G$39,M6/M9,M6/M10)))</f>
        <v>18399.135802093479</v>
      </c>
      <c r="N16" s="697">
        <f>IF(N4&gt;MAX('Project Assumptions'!$F$39,'Project Assumptions'!$G$39,'Project Assumptions'!$H$39),0,IF(N4&lt;='Project Assumptions'!$F$39,N6/N8,IF(N4&lt;='Project Assumptions'!$G$39,N6/N9,N6/N10)))</f>
        <v>18618.172532499513</v>
      </c>
      <c r="O16" s="697">
        <f>IF(O4&gt;MAX('Project Assumptions'!$F$39,'Project Assumptions'!$G$39,'Project Assumptions'!$H$39),0,IF(O4&lt;='Project Assumptions'!$F$39,O6/O8,IF(O4&lt;='Project Assumptions'!$G$39,O6/O9,O6/O10)))</f>
        <v>18815.859725390699</v>
      </c>
      <c r="P16" s="697">
        <f>IF(P4&gt;MAX('Project Assumptions'!$F$39,'Project Assumptions'!$G$39,'Project Assumptions'!$H$39),0,IF(P4&lt;='Project Assumptions'!$F$39,P6/P8,IF(P4&lt;='Project Assumptions'!$G$39,P6/P9,P6/P10)))</f>
        <v>19008.535725589754</v>
      </c>
      <c r="Q16" s="697">
        <f>IF(Q4&gt;MAX('Project Assumptions'!$F$39,'Project Assumptions'!$G$39,'Project Assumptions'!$H$39),0,IF(Q4&lt;='Project Assumptions'!$F$39,Q6/Q8,IF(Q4&lt;='Project Assumptions'!$G$39,Q6/Q9,Q6/Q10)))</f>
        <v>19195.721943061548</v>
      </c>
      <c r="R16" s="697">
        <f>IF(R4&gt;MAX('Project Assumptions'!$F$39,'Project Assumptions'!$G$39,'Project Assumptions'!$H$39),0,IF(R4&lt;='Project Assumptions'!$F$39,R6/R8,IF(R4&lt;='Project Assumptions'!$G$39,R6/R9,R6/R10)))</f>
        <v>19393.70929545103</v>
      </c>
      <c r="S16" s="697">
        <f>IF(S4&gt;MAX('Project Assumptions'!$F$39,'Project Assumptions'!$G$39,'Project Assumptions'!$H$39),0,IF(S4&lt;='Project Assumptions'!$F$39,S6/S8,IF(S4&lt;='Project Assumptions'!$G$39,S6/S9,S6/S10)))</f>
        <v>19568.382334459493</v>
      </c>
      <c r="T16" s="697">
        <f>IF(T4&gt;MAX('Project Assumptions'!$F$39,'Project Assumptions'!$G$39,'Project Assumptions'!$H$39),0,IF(T4&lt;='Project Assumptions'!$F$39,T6/T8,IF(T4&lt;='Project Assumptions'!$G$39,T6/T9,T6/T10)))</f>
        <v>19735.980462797925</v>
      </c>
      <c r="U16" s="697">
        <f>IF(U4&gt;MAX('Project Assumptions'!$F$39,'Project Assumptions'!$G$39,'Project Assumptions'!$H$39),0,IF(U4&lt;='Project Assumptions'!$F$39,U6/U8,IF(U4&lt;='Project Assumptions'!$G$39,U6/U9,U6/U10)))</f>
        <v>19895.921980090985</v>
      </c>
      <c r="V16" s="697">
        <f>IF(V4&gt;MAX('Project Assumptions'!$F$39,'Project Assumptions'!$G$39,'Project Assumptions'!$H$39),0,IF(V4&lt;='Project Assumptions'!$F$39,V6/V8,IF(V4&lt;='Project Assumptions'!$G$39,V6/V9,V6/V10)))</f>
        <v>20064.390364369239</v>
      </c>
      <c r="W16" s="697">
        <f>IF(W4&gt;MAX('Project Assumptions'!$F$39,'Project Assumptions'!$G$39,'Project Assumptions'!$H$39),0,IF(W4&lt;='Project Assumptions'!$F$39,W6/W8,IF(W4&lt;='Project Assumptions'!$G$39,W6/W9,W6/W10)))</f>
        <v>20207.158231488185</v>
      </c>
      <c r="X16" s="697">
        <f>IF(X4&gt;MAX('Project Assumptions'!$F$39,'Project Assumptions'!$G$39,'Project Assumptions'!$H$39),0,IF(X4&lt;='Project Assumptions'!$F$39,X6/X8,IF(X4&lt;='Project Assumptions'!$G$39,X6/X9,X6/X10)))</f>
        <v>19864.462436142821</v>
      </c>
      <c r="Y16" s="697">
        <f>IF(Y4&gt;MAX('Project Assumptions'!$F$39,'Project Assumptions'!$G$39,'Project Assumptions'!$H$39),0,IF(Y4&lt;='Project Assumptions'!$F$39,Y6/Y8,IF(Y4&lt;='Project Assumptions'!$G$39,Y6/Y9,Y6/Y10)))</f>
        <v>0</v>
      </c>
      <c r="Z16" s="697">
        <f>IF(Z4&gt;MAX('Project Assumptions'!$F$39,'Project Assumptions'!$G$39,'Project Assumptions'!$H$39),0,IF(Z4&lt;='Project Assumptions'!$F$39,Z6/Z8,IF(Z4&lt;='Project Assumptions'!$G$39,Z6/Z9,Z6/Z10)))</f>
        <v>0</v>
      </c>
      <c r="AA16" s="697">
        <f>IF(AA4&gt;MAX('Project Assumptions'!$F$39,'Project Assumptions'!$G$39,'Project Assumptions'!$H$39),0,IF(AA4&lt;='Project Assumptions'!$F$39,AA6/AA8,IF(AA4&lt;='Project Assumptions'!$G$39,AA6/AA9,AA6/AA10)))</f>
        <v>0</v>
      </c>
      <c r="AB16" s="697">
        <f>IF(AB4&gt;MAX('Project Assumptions'!$F$39,'Project Assumptions'!$G$39,'Project Assumptions'!$H$39),0,IF(AB4&lt;='Project Assumptions'!$F$39,AB6/AB8,IF(AB4&lt;='Project Assumptions'!$G$39,AB6/AB9,AB6/AB10)))</f>
        <v>0</v>
      </c>
      <c r="AC16" s="698">
        <f>IF(AC4&gt;MAX('Project Assumptions'!$F$39,'Project Assumptions'!$G$39,'Project Assumptions'!$H$39),0,IF(AC4&lt;='Project Assumptions'!$F$39,AC6/AC8,IF(AC4&lt;='Project Assumptions'!$G$39,AC6/AC9,AC6/AC10)))</f>
        <v>0</v>
      </c>
      <c r="AD16" s="711"/>
    </row>
    <row r="17" spans="1:30" s="705" customFormat="1">
      <c r="A17" s="710"/>
      <c r="B17" s="339"/>
      <c r="C17" s="339"/>
      <c r="D17" s="339"/>
      <c r="E17" s="708"/>
      <c r="F17" s="708"/>
      <c r="G17" s="708"/>
      <c r="H17" s="708"/>
      <c r="I17" s="708"/>
      <c r="J17" s="708"/>
      <c r="K17" s="708"/>
      <c r="L17" s="708"/>
      <c r="M17" s="708"/>
      <c r="N17" s="708"/>
      <c r="O17" s="708"/>
      <c r="P17" s="708"/>
      <c r="Q17" s="708"/>
      <c r="R17" s="708"/>
      <c r="S17" s="708"/>
      <c r="T17" s="708"/>
      <c r="U17" s="708"/>
      <c r="V17" s="708"/>
      <c r="W17" s="708"/>
      <c r="X17" s="708"/>
      <c r="Y17" s="708"/>
      <c r="Z17" s="708"/>
      <c r="AA17" s="708"/>
      <c r="AB17" s="708"/>
      <c r="AC17" s="712"/>
      <c r="AD17" s="711"/>
    </row>
    <row r="18" spans="1:30" s="705" customFormat="1">
      <c r="A18" s="701"/>
      <c r="B18" s="713">
        <f>'Project Assumptions'!$G$16</f>
        <v>36678</v>
      </c>
      <c r="C18" s="713">
        <f>DATE(YEAR('Project Assumptions'!$G$16),12,31)</f>
        <v>36891</v>
      </c>
      <c r="D18" s="339"/>
      <c r="E18" s="708"/>
      <c r="F18" s="708"/>
      <c r="G18" s="708"/>
      <c r="H18" s="708"/>
      <c r="I18" s="708"/>
      <c r="J18" s="708"/>
      <c r="K18" s="708"/>
      <c r="L18" s="708"/>
      <c r="M18" s="708"/>
      <c r="N18" s="708"/>
      <c r="O18" s="708"/>
      <c r="P18" s="708"/>
      <c r="Q18" s="708"/>
      <c r="R18" s="708"/>
      <c r="S18" s="708"/>
      <c r="T18" s="708"/>
      <c r="U18" s="708"/>
      <c r="V18" s="708"/>
      <c r="W18" s="708"/>
      <c r="X18" s="708"/>
      <c r="Y18" s="708"/>
      <c r="Z18" s="708"/>
      <c r="AA18" s="708"/>
      <c r="AB18" s="708"/>
      <c r="AC18" s="712"/>
    </row>
    <row r="19" spans="1:30" s="705" customFormat="1">
      <c r="A19" s="701" t="s">
        <v>204</v>
      </c>
      <c r="B19" s="714">
        <f>NPV(E12*(13-MONTH('Project Assumptions'!G16))/12,C19)</f>
        <v>39510.885891834485</v>
      </c>
      <c r="C19" s="714">
        <f>NPV(F12,F19:AC19)+E19</f>
        <v>41062.01742047142</v>
      </c>
      <c r="D19" s="339"/>
      <c r="E19" s="697">
        <f>IF(E4&gt;'Project Assumptions'!$F$39,0,E16-E35-E43)</f>
        <v>6360.0085939904584</v>
      </c>
      <c r="F19" s="697">
        <f>IF(F4&gt;'Project Assumptions'!$F$39,0,F16-F35-F43)</f>
        <v>11129.21724201777</v>
      </c>
      <c r="G19" s="697">
        <f>IF(G4&gt;'Project Assumptions'!$F$39,0,G16-G35-G43)</f>
        <v>11080.3356247624</v>
      </c>
      <c r="H19" s="697">
        <f>IF(H4&gt;'Project Assumptions'!$F$39,0,H16-H35-H43)</f>
        <v>17686.789154318994</v>
      </c>
      <c r="I19" s="697">
        <f>IF(I4&gt;'Project Assumptions'!$F$39,0,I16-I35-I43)</f>
        <v>0</v>
      </c>
      <c r="J19" s="697">
        <f>IF(J4&gt;'Project Assumptions'!$F$39,0,J16-J35-J43)</f>
        <v>0</v>
      </c>
      <c r="K19" s="697">
        <f>IF(K4&gt;'Project Assumptions'!$F$39,0,K16-K35-K43)</f>
        <v>0</v>
      </c>
      <c r="L19" s="697">
        <f>IF(L4&gt;'Project Assumptions'!$F$39,0,L16-L35-L43)</f>
        <v>0</v>
      </c>
      <c r="M19" s="697">
        <f>IF(M4&gt;'Project Assumptions'!$F$39,0,M16-M35-M43)</f>
        <v>0</v>
      </c>
      <c r="N19" s="697">
        <f>IF(N4&gt;'Project Assumptions'!$F$39,0,N16-N35-N43)</f>
        <v>0</v>
      </c>
      <c r="O19" s="697">
        <f>IF(O4&gt;'Project Assumptions'!$F$39,0,O16-O35-O43)</f>
        <v>0</v>
      </c>
      <c r="P19" s="697">
        <f>IF(P4&gt;'Project Assumptions'!$F$39,0,P16-P35-P43)</f>
        <v>0</v>
      </c>
      <c r="Q19" s="697">
        <f>IF(Q4&gt;'Project Assumptions'!$F$39,0,Q16-Q35-Q43)</f>
        <v>0</v>
      </c>
      <c r="R19" s="697">
        <f>IF(R4&gt;'Project Assumptions'!$F$39,0,R16-R35-R43)</f>
        <v>0</v>
      </c>
      <c r="S19" s="697">
        <f>IF(S4&gt;'Project Assumptions'!$F$39,0,S16-S35-S43)</f>
        <v>0</v>
      </c>
      <c r="T19" s="697">
        <f>IF(T4&gt;'Project Assumptions'!$F$39,0,T16-T35-T43)</f>
        <v>0</v>
      </c>
      <c r="U19" s="697">
        <f>IF(U4&gt;'Project Assumptions'!$F$39,0,U16-U35-U43)</f>
        <v>0</v>
      </c>
      <c r="V19" s="697">
        <f>IF(V4&gt;'Project Assumptions'!$F$39,0,V16-V35-V43)</f>
        <v>0</v>
      </c>
      <c r="W19" s="697">
        <f>IF(W4&gt;'Project Assumptions'!$F$39,0,W16-W35-W43)</f>
        <v>0</v>
      </c>
      <c r="X19" s="697">
        <f>IF(X4&gt;'Project Assumptions'!$F$39,0,X16-X35-X43)</f>
        <v>0</v>
      </c>
      <c r="Y19" s="697">
        <f>IF(Y4&gt;'Project Assumptions'!$F$39,0,Y16-Y35-Y43)</f>
        <v>0</v>
      </c>
      <c r="Z19" s="697">
        <f>IF(Z4&gt;'Project Assumptions'!$F$39,0,Z16-Z35-Z43)</f>
        <v>0</v>
      </c>
      <c r="AA19" s="697">
        <f>IF(AA4&gt;'Project Assumptions'!$F$39,0,AA16-AA35-AA43)</f>
        <v>0</v>
      </c>
      <c r="AB19" s="697">
        <f>IF(AB4&gt;'Project Assumptions'!$F$39,0,AB16-AB35-AB43)</f>
        <v>0</v>
      </c>
      <c r="AC19" s="698">
        <f>IF(AC4&gt;'Project Assumptions'!$F$39,0,AC16-AC35-AC43)</f>
        <v>0</v>
      </c>
    </row>
    <row r="20" spans="1:30" s="705" customFormat="1">
      <c r="A20" s="701" t="s">
        <v>205</v>
      </c>
      <c r="B20" s="708">
        <f>HLOOKUP('Project Assumptions'!$F$39,$E$4:$AC$20,17)</f>
        <v>84756.04482773738</v>
      </c>
      <c r="C20" s="708"/>
      <c r="D20" s="339"/>
      <c r="E20" s="697">
        <f>IF(E4&lt;'Project Assumptions'!$F$39,0,IF(E4='Project Assumptions'!$F$39,NPV(F13,F20:$AC$20),IF(E4&lt;='Project Assumptions'!$G$39,E16-E43,0)))</f>
        <v>0</v>
      </c>
      <c r="F20" s="697">
        <f>IF(F4&lt;'Project Assumptions'!$F$39,0,IF(F4='Project Assumptions'!$F$39,NPV(G13,G20:$AC$20),IF(F4&lt;='Project Assumptions'!$G$39,F16-F43,0)))</f>
        <v>0</v>
      </c>
      <c r="G20" s="697">
        <f>IF(G4&lt;'Project Assumptions'!$F$39,0,IF(G4='Project Assumptions'!$F$39,NPV(H13,H20:$AC$20),IF(G4&lt;='Project Assumptions'!$G$39,G16-G43,0)))</f>
        <v>0</v>
      </c>
      <c r="H20" s="697">
        <f>IF(H4&lt;'Project Assumptions'!$F$39,0,IF(H4='Project Assumptions'!$F$39,NPV(I13,I20:$AC$20),IF(H4&lt;='Project Assumptions'!$G$39,H16-H43,0)))</f>
        <v>84756.04482773738</v>
      </c>
      <c r="I20" s="697">
        <f>IF(I4&lt;'Project Assumptions'!$F$39,0,IF(I4='Project Assumptions'!$F$39,NPV(J13,J20:$AC$20),IF(I4&lt;='Project Assumptions'!$G$39,I16-I43,0)))</f>
        <v>17536.158407446019</v>
      </c>
      <c r="J20" s="697">
        <f>IF(J4&lt;'Project Assumptions'!$F$39,0,IF(J4='Project Assumptions'!$F$39,NPV(K13,K20:$AC$20),IF(J4&lt;='Project Assumptions'!$G$39,J16-J43,0)))</f>
        <v>18083.91346167033</v>
      </c>
      <c r="K20" s="697">
        <f>IF(K4&lt;'Project Assumptions'!$F$39,0,IF(K4='Project Assumptions'!$F$39,NPV(L13,L20:$AC$20),IF(K4&lt;='Project Assumptions'!$G$39,K16-K43,0)))</f>
        <v>17982.693302172727</v>
      </c>
      <c r="L20" s="697">
        <f>IF(L4&lt;'Project Assumptions'!$F$39,0,IF(L4='Project Assumptions'!$F$39,NPV(M13,M20:$AC$20),IF(L4&lt;='Project Assumptions'!$G$39,L16-L43,0)))</f>
        <v>18192.770053250766</v>
      </c>
      <c r="M20" s="697">
        <f>IF(M4&lt;'Project Assumptions'!$F$39,0,IF(M4='Project Assumptions'!$F$39,NPV(N13,N20:$AC$20),IF(M4&lt;='Project Assumptions'!$G$39,M16-M43,0)))</f>
        <v>18399.135802093479</v>
      </c>
      <c r="N20" s="697">
        <f>IF(N4&lt;'Project Assumptions'!$F$39,0,IF(N4='Project Assumptions'!$F$39,NPV(O13,O20:$AC$20),IF(N4&lt;='Project Assumptions'!$G$39,N16-N43,0)))</f>
        <v>18618.172532499513</v>
      </c>
      <c r="O20" s="697">
        <f>IF(O4&lt;'Project Assumptions'!$F$39,0,IF(O4='Project Assumptions'!$F$39,NPV(P13,P20:$AC$20),IF(O4&lt;='Project Assumptions'!$G$39,O16-O43,0)))</f>
        <v>0</v>
      </c>
      <c r="P20" s="697">
        <f>IF(P4&lt;'Project Assumptions'!$F$39,0,IF(P4='Project Assumptions'!$F$39,NPV(Q13,Q20:$AC$20),IF(P4&lt;='Project Assumptions'!$G$39,P16-P43,0)))</f>
        <v>0</v>
      </c>
      <c r="Q20" s="697">
        <f>IF(Q4&lt;'Project Assumptions'!$F$39,0,IF(Q4='Project Assumptions'!$F$39,NPV(R13,R20:$AC$20),IF(Q4&lt;='Project Assumptions'!$G$39,Q16-Q43,0)))</f>
        <v>0</v>
      </c>
      <c r="R20" s="697">
        <f>IF(R4&lt;'Project Assumptions'!$F$39,0,IF(R4='Project Assumptions'!$F$39,NPV(S13,S20:$AC$20),IF(R4&lt;='Project Assumptions'!$G$39,R16-R43,0)))</f>
        <v>0</v>
      </c>
      <c r="S20" s="697">
        <f>IF(S4&lt;'Project Assumptions'!$F$39,0,IF(S4='Project Assumptions'!$F$39,NPV(T13,T20:$AC$20),IF(S4&lt;='Project Assumptions'!$G$39,S16-S43,0)))</f>
        <v>0</v>
      </c>
      <c r="T20" s="697">
        <f>IF(T4&lt;'Project Assumptions'!$F$39,0,IF(T4='Project Assumptions'!$F$39,NPV(U13,U20:$AC$20),IF(T4&lt;='Project Assumptions'!$G$39,T16-T43,0)))</f>
        <v>0</v>
      </c>
      <c r="U20" s="697">
        <f>IF(U4&lt;'Project Assumptions'!$F$39,0,IF(U4='Project Assumptions'!$F$39,NPV(V13,V20:$AC$20),IF(U4&lt;='Project Assumptions'!$G$39,U16-U43,0)))</f>
        <v>0</v>
      </c>
      <c r="V20" s="697">
        <f>IF(V4&lt;'Project Assumptions'!$F$39,0,IF(V4='Project Assumptions'!$F$39,NPV(W13,W20:$AC$20),IF(V4&lt;='Project Assumptions'!$G$39,V16-V43,0)))</f>
        <v>0</v>
      </c>
      <c r="W20" s="697">
        <f>IF(W4&lt;'Project Assumptions'!$F$39,0,IF(W4='Project Assumptions'!$F$39,NPV(X13,X20:$AC$20),IF(W4&lt;='Project Assumptions'!$G$39,W16-W43,0)))</f>
        <v>0</v>
      </c>
      <c r="X20" s="697">
        <f>IF(X4&lt;'Project Assumptions'!$F$39,0,IF(X4='Project Assumptions'!$F$39,NPV(Y13,Y20:$AC$20),IF(X4&lt;='Project Assumptions'!$G$39,X16-X43,0)))</f>
        <v>0</v>
      </c>
      <c r="Y20" s="697">
        <f>IF(Y4&lt;'Project Assumptions'!$F$39,0,IF(Y4='Project Assumptions'!$F$39,NPV(Z13,Z20:$AC$20),IF(Y4&lt;='Project Assumptions'!$G$39,Y16-Y43,0)))</f>
        <v>0</v>
      </c>
      <c r="Z20" s="697">
        <f>IF(Z4&lt;'Project Assumptions'!$F$39,0,IF(Z4='Project Assumptions'!$F$39,NPV(AA13,AA20:$AC$20),IF(Z4&lt;='Project Assumptions'!$G$39,Z16-Z43,0)))</f>
        <v>0</v>
      </c>
      <c r="AA20" s="697">
        <f>IF(AA4&lt;'Project Assumptions'!$F$39,0,IF(AA4='Project Assumptions'!$F$39,NPV(AB13,AB20:$AC$20),IF(AA4&lt;='Project Assumptions'!$G$39,AA16-AA43,0)))</f>
        <v>0</v>
      </c>
      <c r="AB20" s="697">
        <f>IF(AB4&lt;'Project Assumptions'!$F$39,0,IF(AB4='Project Assumptions'!$F$39,NPV(AC13,AC20:$AC$20),IF(AB4&lt;='Project Assumptions'!$G$39,AB16-AB43,0)))</f>
        <v>0</v>
      </c>
      <c r="AC20" s="698">
        <f>IF(AC4&lt;'Project Assumptions'!$F$39,0,IF(AC4='Project Assumptions'!$F$39,NPV(AD13,$AC20:AD$20),IF(AC4&lt;='Project Assumptions'!$G$39,AC16-AC43,0)))</f>
        <v>0</v>
      </c>
    </row>
    <row r="21" spans="1:30" s="705" customFormat="1" ht="15">
      <c r="A21" s="701" t="s">
        <v>206</v>
      </c>
      <c r="B21" s="715">
        <f>IF('Project Assumptions'!$H$39=0,0,HLOOKUP('Project Assumptions'!$G$39,$E$4:$AC$21,18))</f>
        <v>129657.70274060525</v>
      </c>
      <c r="C21" s="715"/>
      <c r="D21" s="339"/>
      <c r="E21" s="697">
        <f>IF(OR(E4&lt;'Project Assumptions'!$G$39,'Project Assumptions'!$G$39=0,'Project Assumptions'!$H$39=0),0,IF(E4='Project Assumptions'!$G$39,NPV(F14,F21:$AC$21),IF(E4&lt;='Project Assumptions'!$H$39,E16,0)))</f>
        <v>0</v>
      </c>
      <c r="F21" s="697">
        <f>IF(OR(F4&lt;'Project Assumptions'!$G$39,'Project Assumptions'!$G$39=0,'Project Assumptions'!$H$39=0),0,IF(F4='Project Assumptions'!$G$39,NPV(G14,G21:$AC$21),IF(F4&lt;='Project Assumptions'!$H$39,F16,0)))</f>
        <v>0</v>
      </c>
      <c r="G21" s="697">
        <f>IF(OR(G4&lt;'Project Assumptions'!$G$39,'Project Assumptions'!$G$39=0,'Project Assumptions'!$H$39=0),0,IF(G4='Project Assumptions'!$G$39,NPV(H14,H21:$AC$21),IF(G4&lt;='Project Assumptions'!$H$39,G16,0)))</f>
        <v>0</v>
      </c>
      <c r="H21" s="697">
        <f>IF(OR(H4&lt;'Project Assumptions'!$G$39,'Project Assumptions'!$G$39=0,'Project Assumptions'!$H$39=0),0,IF(H4='Project Assumptions'!$G$39,NPV(I14,I21:$AC$21),IF(H4&lt;='Project Assumptions'!$H$39,H16,0)))</f>
        <v>0</v>
      </c>
      <c r="I21" s="697">
        <f>IF(OR(I4&lt;'Project Assumptions'!$G$39,'Project Assumptions'!$G$39=0,'Project Assumptions'!$H$39=0),0,IF(I4='Project Assumptions'!$G$39,NPV(J14,J21:$AC$21),IF(I4&lt;='Project Assumptions'!$H$39,I16,0)))</f>
        <v>0</v>
      </c>
      <c r="J21" s="697">
        <f>IF(OR(J4&lt;'Project Assumptions'!$G$39,'Project Assumptions'!$G$39=0,'Project Assumptions'!$H$39=0),0,IF(J4='Project Assumptions'!$G$39,NPV(K14,K21:$AC$21),IF(J4&lt;='Project Assumptions'!$H$39,J16,0)))</f>
        <v>0</v>
      </c>
      <c r="K21" s="697">
        <f>IF(OR(K4&lt;'Project Assumptions'!$G$39,'Project Assumptions'!$G$39=0,'Project Assumptions'!$H$39=0),0,IF(K4='Project Assumptions'!$G$39,NPV(L14,L21:$AC$21),IF(K4&lt;='Project Assumptions'!$H$39,K16,0)))</f>
        <v>0</v>
      </c>
      <c r="L21" s="697">
        <f>IF(OR(L4&lt;'Project Assumptions'!$G$39,'Project Assumptions'!$G$39=0,'Project Assumptions'!$H$39=0),0,IF(L4='Project Assumptions'!$G$39,NPV(M14,M21:$AC$21),IF(L4&lt;='Project Assumptions'!$H$39,L16,0)))</f>
        <v>0</v>
      </c>
      <c r="M21" s="697">
        <f>IF(OR(M4&lt;'Project Assumptions'!$G$39,'Project Assumptions'!$G$39=0,'Project Assumptions'!$H$39=0),0,IF(M4='Project Assumptions'!$G$39,NPV(N14,N21:$AC$21),IF(M4&lt;='Project Assumptions'!$H$39,M16,0)))</f>
        <v>0</v>
      </c>
      <c r="N21" s="697">
        <f>IF(OR(N4&lt;'Project Assumptions'!$G$39,'Project Assumptions'!$G$39=0,'Project Assumptions'!$H$39=0),0,IF(N4='Project Assumptions'!$G$39,NPV(O14,O21:$AC$21),IF(N4&lt;='Project Assumptions'!$H$39,N16,0)))</f>
        <v>129657.70274060525</v>
      </c>
      <c r="O21" s="697">
        <f>IF(OR(O4&lt;'Project Assumptions'!$G$39,'Project Assumptions'!$G$39=0,'Project Assumptions'!$H$39=0),0,IF(O4='Project Assumptions'!$G$39,NPV(P14,P21:$AC$21),IF(O4&lt;='Project Assumptions'!$H$39,O16,0)))</f>
        <v>18815.859725390699</v>
      </c>
      <c r="P21" s="697">
        <f>IF(OR(P4&lt;'Project Assumptions'!$G$39,'Project Assumptions'!$G$39=0,'Project Assumptions'!$H$39=0),0,IF(P4='Project Assumptions'!$G$39,NPV(Q14,Q21:$AC$21),IF(P4&lt;='Project Assumptions'!$H$39,P16,0)))</f>
        <v>19008.535725589754</v>
      </c>
      <c r="Q21" s="697">
        <f>IF(OR(Q4&lt;'Project Assumptions'!$G$39,'Project Assumptions'!$G$39=0,'Project Assumptions'!$H$39=0),0,IF(Q4='Project Assumptions'!$G$39,NPV(R14,R21:$AC$21),IF(Q4&lt;='Project Assumptions'!$H$39,Q16,0)))</f>
        <v>19195.721943061548</v>
      </c>
      <c r="R21" s="697">
        <f>IF(OR(R4&lt;'Project Assumptions'!$G$39,'Project Assumptions'!$G$39=0,'Project Assumptions'!$H$39=0),0,IF(R4='Project Assumptions'!$G$39,NPV(S14,S21:$AC$21),IF(R4&lt;='Project Assumptions'!$H$39,R16,0)))</f>
        <v>19393.70929545103</v>
      </c>
      <c r="S21" s="697">
        <f>IF(OR(S4&lt;'Project Assumptions'!$G$39,'Project Assumptions'!$G$39=0,'Project Assumptions'!$H$39=0),0,IF(S4='Project Assumptions'!$G$39,NPV(T14,T21:$AC$21),IF(S4&lt;='Project Assumptions'!$H$39,S16,0)))</f>
        <v>19568.382334459493</v>
      </c>
      <c r="T21" s="697">
        <f>IF(OR(T4&lt;'Project Assumptions'!$G$39,'Project Assumptions'!$G$39=0,'Project Assumptions'!$H$39=0),0,IF(T4='Project Assumptions'!$G$39,NPV(U14,U21:$AC$21),IF(T4&lt;='Project Assumptions'!$H$39,T16,0)))</f>
        <v>19735.980462797925</v>
      </c>
      <c r="U21" s="697">
        <f>IF(OR(U4&lt;'Project Assumptions'!$G$39,'Project Assumptions'!$G$39=0,'Project Assumptions'!$H$39=0),0,IF(U4='Project Assumptions'!$G$39,NPV(V14,V21:$AC$21),IF(U4&lt;='Project Assumptions'!$H$39,U16,0)))</f>
        <v>19895.921980090985</v>
      </c>
      <c r="V21" s="697">
        <f>IF(OR(V4&lt;'Project Assumptions'!$G$39,'Project Assumptions'!$G$39=0,'Project Assumptions'!$H$39=0),0,IF(V4='Project Assumptions'!$G$39,NPV(W14,W21:$AC$21),IF(V4&lt;='Project Assumptions'!$H$39,V16,0)))</f>
        <v>20064.390364369239</v>
      </c>
      <c r="W21" s="697">
        <f>IF(OR(W4&lt;'Project Assumptions'!$G$39,'Project Assumptions'!$G$39=0,'Project Assumptions'!$H$39=0),0,IF(W4='Project Assumptions'!$G$39,NPV(X14,X21:$AC$21),IF(W4&lt;='Project Assumptions'!$H$39,W16,0)))</f>
        <v>20207.158231488185</v>
      </c>
      <c r="X21" s="697">
        <f>IF(OR(X4&lt;'Project Assumptions'!$G$39,'Project Assumptions'!$G$39=0,'Project Assumptions'!$H$39=0),0,IF(X4='Project Assumptions'!$G$39,NPV(Y14,Y21:$AC$21),IF(X4&lt;='Project Assumptions'!$H$39,X16,0)))</f>
        <v>19864.462436142821</v>
      </c>
      <c r="Y21" s="697">
        <f>IF(OR(Y4&lt;'Project Assumptions'!$G$39,'Project Assumptions'!$G$39=0,'Project Assumptions'!$H$39=0),0,IF(Y4='Project Assumptions'!$G$39,NPV(Z14,Z21:$AC$21),IF(Y4&lt;='Project Assumptions'!$H$39,Y16,0)))</f>
        <v>0</v>
      </c>
      <c r="Z21" s="697">
        <f>IF(OR(Z4&lt;'Project Assumptions'!$G$39,'Project Assumptions'!$G$39=0,'Project Assumptions'!$H$39=0),0,IF(Z4='Project Assumptions'!$G$39,NPV(AA14,AA21:$AC$21),IF(Z4&lt;='Project Assumptions'!$H$39,Z16,0)))</f>
        <v>0</v>
      </c>
      <c r="AA21" s="697">
        <f>IF(OR(AA4&lt;'Project Assumptions'!$G$39,'Project Assumptions'!$G$39=0,'Project Assumptions'!$H$39=0),0,IF(AA4='Project Assumptions'!$G$39,NPV(AB14,AB21:$AC$21),IF(AA4&lt;='Project Assumptions'!$H$39,AA16,0)))</f>
        <v>0</v>
      </c>
      <c r="AB21" s="697">
        <f>IF(OR(AB4&lt;'Project Assumptions'!$G$39,'Project Assumptions'!$G$39=0,'Project Assumptions'!$H$39=0),0,IF(AB4='Project Assumptions'!$G$39,NPV(AC14,AC21:$AC$21),IF(AB4&lt;='Project Assumptions'!$H$39,AB16,0)))</f>
        <v>0</v>
      </c>
      <c r="AC21" s="698">
        <f>IF(OR(AC4&lt;'Project Assumptions'!$G$39,'Project Assumptions'!$G$39=0,'Project Assumptions'!$H$39=0),0,IF(AC4='Project Assumptions'!$G$39,NPV(AD14,$AC21:AD$21),IF(AC4&lt;='Project Assumptions'!$H$39,AC16,0)))</f>
        <v>0</v>
      </c>
    </row>
    <row r="22" spans="1:30" s="705" customFormat="1">
      <c r="A22" s="716" t="s">
        <v>209</v>
      </c>
      <c r="B22" s="717">
        <f>SUM(B19:B21)</f>
        <v>253924.63346017711</v>
      </c>
      <c r="C22" s="718"/>
      <c r="D22" s="719"/>
      <c r="E22" s="720"/>
      <c r="F22" s="720"/>
      <c r="G22" s="720"/>
      <c r="H22" s="720"/>
      <c r="I22" s="720"/>
      <c r="J22" s="720"/>
      <c r="K22" s="720"/>
      <c r="L22" s="720"/>
      <c r="M22" s="720"/>
      <c r="N22" s="720"/>
      <c r="O22" s="720"/>
      <c r="P22" s="720"/>
      <c r="Q22" s="720"/>
      <c r="R22" s="720"/>
      <c r="S22" s="720"/>
      <c r="T22" s="720"/>
      <c r="U22" s="720"/>
      <c r="V22" s="720"/>
      <c r="W22" s="720"/>
      <c r="X22" s="720"/>
      <c r="Y22" s="720"/>
      <c r="Z22" s="720"/>
      <c r="AA22" s="720"/>
      <c r="AB22" s="720"/>
      <c r="AC22" s="721"/>
    </row>
    <row r="23" spans="1:30">
      <c r="B23" s="722"/>
      <c r="C23" s="722"/>
      <c r="D23" s="723"/>
      <c r="E23" s="724"/>
      <c r="F23" s="724"/>
      <c r="G23" s="724"/>
      <c r="H23" s="724"/>
      <c r="I23" s="724"/>
      <c r="J23" s="724"/>
      <c r="K23" s="724"/>
      <c r="L23" s="724"/>
      <c r="M23" s="724"/>
      <c r="N23" s="724"/>
      <c r="O23" s="724"/>
      <c r="P23" s="724"/>
      <c r="Q23" s="724"/>
      <c r="R23" s="724"/>
      <c r="S23" s="724"/>
      <c r="T23" s="724"/>
      <c r="U23" s="724"/>
      <c r="V23" s="724"/>
      <c r="W23" s="724"/>
      <c r="X23" s="724"/>
      <c r="Y23" s="724"/>
      <c r="Z23" s="724"/>
      <c r="AA23" s="724"/>
      <c r="AB23" s="724"/>
      <c r="AC23" s="724"/>
    </row>
    <row r="24" spans="1:30">
      <c r="B24" s="722"/>
      <c r="C24" s="722"/>
      <c r="D24" s="723"/>
      <c r="E24" s="725"/>
      <c r="F24" s="725"/>
      <c r="G24" s="723"/>
      <c r="H24" s="723"/>
      <c r="I24" s="723"/>
      <c r="J24" s="723"/>
      <c r="K24" s="723"/>
      <c r="L24" s="723"/>
      <c r="M24" s="723"/>
      <c r="N24" s="723"/>
      <c r="O24" s="723"/>
      <c r="P24" s="723"/>
      <c r="Q24" s="723"/>
      <c r="R24" s="723"/>
      <c r="S24" s="723"/>
      <c r="T24" s="723"/>
      <c r="U24" s="723"/>
      <c r="V24" s="723"/>
      <c r="W24" s="723"/>
      <c r="X24" s="723"/>
      <c r="Y24" s="723"/>
      <c r="Z24" s="723"/>
      <c r="AA24" s="723"/>
      <c r="AB24" s="723"/>
    </row>
    <row r="25" spans="1:30">
      <c r="A25" s="726" t="s">
        <v>111</v>
      </c>
      <c r="B25" s="727"/>
      <c r="C25" s="727"/>
      <c r="D25" s="728"/>
      <c r="E25" s="728"/>
      <c r="F25" s="728"/>
      <c r="G25" s="728"/>
      <c r="H25" s="728"/>
      <c r="I25" s="728"/>
      <c r="J25" s="728"/>
      <c r="K25" s="728"/>
      <c r="L25" s="728"/>
      <c r="M25" s="728"/>
      <c r="N25" s="728"/>
      <c r="O25" s="728"/>
      <c r="P25" s="728"/>
      <c r="Q25" s="728"/>
      <c r="R25" s="728"/>
      <c r="S25" s="728"/>
      <c r="T25" s="728"/>
      <c r="U25" s="728"/>
      <c r="V25" s="728"/>
      <c r="W25" s="728"/>
      <c r="X25" s="728"/>
      <c r="Y25" s="728"/>
      <c r="Z25" s="728"/>
      <c r="AA25" s="728"/>
      <c r="AB25" s="728"/>
      <c r="AC25" s="453"/>
    </row>
    <row r="26" spans="1:30">
      <c r="A26" s="456" t="s">
        <v>100</v>
      </c>
      <c r="B26" s="729"/>
      <c r="C26" s="729"/>
      <c r="D26" s="58"/>
      <c r="E26" s="697">
        <f>IF(E4&gt;'Project Assumptions'!$F$39,0,B19)</f>
        <v>39510.885891834485</v>
      </c>
      <c r="F26" s="697">
        <f>IF(F4&gt;'Project Assumptions'!$F$39,0,E30)</f>
        <v>34702.00882648096</v>
      </c>
      <c r="G26" s="697">
        <f>IF(G4&gt;'Project Assumptions'!$F$39,0,F30)</f>
        <v>25908.236778485356</v>
      </c>
      <c r="H26" s="697">
        <f>IF(H4&gt;'Project Assumptions'!$F$39,0,G30)</f>
        <v>16571.52548891502</v>
      </c>
      <c r="I26" s="697">
        <f>IF(I4&gt;'Project Assumptions'!$F$39,0,H30)</f>
        <v>0</v>
      </c>
      <c r="J26" s="697">
        <f>IF(J4&gt;'Project Assumptions'!$F$39,0,I30)</f>
        <v>0</v>
      </c>
      <c r="K26" s="697">
        <f>IF(K4&gt;'Project Assumptions'!$F$39,0,J30)</f>
        <v>0</v>
      </c>
      <c r="L26" s="697">
        <f>IF(L4&gt;'Project Assumptions'!$F$39,0,K30)</f>
        <v>0</v>
      </c>
      <c r="M26" s="697">
        <f>IF(M4&gt;'Project Assumptions'!$F$39,0,L30)</f>
        <v>0</v>
      </c>
      <c r="N26" s="697">
        <f>IF(N4&gt;'Project Assumptions'!$F$39,0,M30)</f>
        <v>0</v>
      </c>
      <c r="O26" s="697">
        <f>IF(O4&gt;'Project Assumptions'!$F$39,0,N30)</f>
        <v>0</v>
      </c>
      <c r="P26" s="697">
        <f>IF(P4&gt;'Project Assumptions'!$F$39,0,O30)</f>
        <v>0</v>
      </c>
      <c r="Q26" s="697">
        <f>IF(Q4&gt;'Project Assumptions'!$F$39,0,P30)</f>
        <v>0</v>
      </c>
      <c r="R26" s="697">
        <f>IF(R4&gt;'Project Assumptions'!$F$39,0,Q30)</f>
        <v>0</v>
      </c>
      <c r="S26" s="697">
        <f>IF(S4&gt;'Project Assumptions'!$F$39,0,R30)</f>
        <v>0</v>
      </c>
      <c r="T26" s="697">
        <f>IF(T4&gt;'Project Assumptions'!$F$39,0,S30)</f>
        <v>0</v>
      </c>
      <c r="U26" s="697">
        <f>IF(U4&gt;'Project Assumptions'!$F$39,0,T30)</f>
        <v>0</v>
      </c>
      <c r="V26" s="697">
        <f>IF(V4&gt;'Project Assumptions'!$F$39,0,U30)</f>
        <v>0</v>
      </c>
      <c r="W26" s="697">
        <f>IF(W4&gt;'Project Assumptions'!$F$39,0,V30)</f>
        <v>0</v>
      </c>
      <c r="X26" s="697">
        <f>IF(X4&gt;'Project Assumptions'!$F$39,0,W30)</f>
        <v>0</v>
      </c>
      <c r="Y26" s="697">
        <f>IF(Y4&gt;'Project Assumptions'!$F$39,0,X30)</f>
        <v>0</v>
      </c>
      <c r="Z26" s="697">
        <f>IF(Z4&gt;'Project Assumptions'!$F$39,0,Y30)</f>
        <v>0</v>
      </c>
      <c r="AA26" s="697">
        <f>IF(AA4&gt;'Project Assumptions'!$F$39,0,Z30)</f>
        <v>0</v>
      </c>
      <c r="AB26" s="697">
        <f>IF(AB4&gt;'Project Assumptions'!$F$39,0,AA30)</f>
        <v>0</v>
      </c>
      <c r="AC26" s="698">
        <f>IF(AC4&gt;'Project Assumptions'!$F$39,0,AB30)</f>
        <v>0</v>
      </c>
    </row>
    <row r="27" spans="1:30">
      <c r="A27" s="456" t="s">
        <v>101</v>
      </c>
      <c r="B27" s="730"/>
      <c r="C27" s="730"/>
      <c r="D27" s="58"/>
      <c r="E27" s="731">
        <f>E26*$E$12*(13-MONTH('Project Assumptions'!G16))/12</f>
        <v>1551.1315286369354</v>
      </c>
      <c r="F27" s="731">
        <f>F26*F$12</f>
        <v>2335.4451940221684</v>
      </c>
      <c r="G27" s="731">
        <f t="shared" ref="G27:AC27" si="1">G26*G$12</f>
        <v>1743.6243351920643</v>
      </c>
      <c r="H27" s="731">
        <f t="shared" si="1"/>
        <v>1115.2636654039809</v>
      </c>
      <c r="I27" s="731">
        <f t="shared" si="1"/>
        <v>0</v>
      </c>
      <c r="J27" s="731">
        <f t="shared" si="1"/>
        <v>0</v>
      </c>
      <c r="K27" s="731">
        <f t="shared" si="1"/>
        <v>0</v>
      </c>
      <c r="L27" s="731">
        <f t="shared" si="1"/>
        <v>0</v>
      </c>
      <c r="M27" s="731">
        <f t="shared" si="1"/>
        <v>0</v>
      </c>
      <c r="N27" s="731">
        <f t="shared" si="1"/>
        <v>0</v>
      </c>
      <c r="O27" s="731">
        <f t="shared" si="1"/>
        <v>0</v>
      </c>
      <c r="P27" s="731">
        <f t="shared" si="1"/>
        <v>0</v>
      </c>
      <c r="Q27" s="731">
        <f t="shared" si="1"/>
        <v>0</v>
      </c>
      <c r="R27" s="731">
        <f t="shared" si="1"/>
        <v>0</v>
      </c>
      <c r="S27" s="731">
        <f t="shared" si="1"/>
        <v>0</v>
      </c>
      <c r="T27" s="731">
        <f t="shared" si="1"/>
        <v>0</v>
      </c>
      <c r="U27" s="731">
        <f t="shared" si="1"/>
        <v>0</v>
      </c>
      <c r="V27" s="731">
        <f t="shared" si="1"/>
        <v>0</v>
      </c>
      <c r="W27" s="731">
        <f t="shared" si="1"/>
        <v>0</v>
      </c>
      <c r="X27" s="731">
        <f t="shared" si="1"/>
        <v>0</v>
      </c>
      <c r="Y27" s="731">
        <f t="shared" si="1"/>
        <v>0</v>
      </c>
      <c r="Z27" s="731">
        <f t="shared" si="1"/>
        <v>0</v>
      </c>
      <c r="AA27" s="731">
        <f t="shared" si="1"/>
        <v>0</v>
      </c>
      <c r="AB27" s="731">
        <f t="shared" si="1"/>
        <v>0</v>
      </c>
      <c r="AC27" s="732">
        <f t="shared" si="1"/>
        <v>0</v>
      </c>
    </row>
    <row r="28" spans="1:30">
      <c r="A28" s="456" t="s">
        <v>102</v>
      </c>
      <c r="B28" s="58"/>
      <c r="C28" s="58"/>
      <c r="D28" s="58"/>
      <c r="E28" s="731">
        <f>IF(E4&gt;'Project Assumptions'!$F$39,0,E29-E27)</f>
        <v>4808.877065353523</v>
      </c>
      <c r="F28" s="731">
        <f>IF(F4&gt;'Project Assumptions'!$F$39,0,F29-F27)</f>
        <v>8793.7720479956024</v>
      </c>
      <c r="G28" s="731">
        <f>IF(G4&gt;'Project Assumptions'!$F$39,0,G29-G27)</f>
        <v>9336.7112895703358</v>
      </c>
      <c r="H28" s="731">
        <f>IF(H4&gt;'Project Assumptions'!$F$39,0,H29-H27)</f>
        <v>16571.525488915013</v>
      </c>
      <c r="I28" s="731">
        <f>IF(I4&gt;'Project Assumptions'!$F$39,0,I29-I27)</f>
        <v>0</v>
      </c>
      <c r="J28" s="731">
        <f>IF(J4&gt;'Project Assumptions'!$F$39,0,J29-J27)</f>
        <v>0</v>
      </c>
      <c r="K28" s="731">
        <f>IF(K4&gt;'Project Assumptions'!$F$39,0,K29-K27)</f>
        <v>0</v>
      </c>
      <c r="L28" s="731">
        <f>IF(L4&gt;'Project Assumptions'!$F$39,0,L29-L27)</f>
        <v>0</v>
      </c>
      <c r="M28" s="731">
        <f>IF(M4&gt;'Project Assumptions'!$F$39,0,M29-M27)</f>
        <v>0</v>
      </c>
      <c r="N28" s="731">
        <f>IF(N4&gt;'Project Assumptions'!$F$39,0,N29-N27)</f>
        <v>0</v>
      </c>
      <c r="O28" s="731">
        <f>IF(O4&gt;'Project Assumptions'!$F$39,0,O29-O27)</f>
        <v>0</v>
      </c>
      <c r="P28" s="731">
        <f>IF(P4&gt;'Project Assumptions'!$F$39,0,P29-P27)</f>
        <v>0</v>
      </c>
      <c r="Q28" s="731">
        <f>IF(Q4&gt;'Project Assumptions'!$F$39,0,Q29-Q27)</f>
        <v>0</v>
      </c>
      <c r="R28" s="731">
        <f>IF(R4&gt;'Project Assumptions'!$F$39,0,R29-R27)</f>
        <v>0</v>
      </c>
      <c r="S28" s="731">
        <f>IF(S4&gt;'Project Assumptions'!$F$39,0,S29-S27)</f>
        <v>0</v>
      </c>
      <c r="T28" s="731">
        <f>IF(T4&gt;'Project Assumptions'!$F$39,0,T29-T27)</f>
        <v>0</v>
      </c>
      <c r="U28" s="731">
        <f>IF(U4&gt;'Project Assumptions'!$F$39,0,U29-U27)</f>
        <v>0</v>
      </c>
      <c r="V28" s="731">
        <f>IF(V4&gt;'Project Assumptions'!$F$39,0,V29-V27)</f>
        <v>0</v>
      </c>
      <c r="W28" s="731">
        <f>IF(W4&gt;'Project Assumptions'!$F$39,0,W29-W27)</f>
        <v>0</v>
      </c>
      <c r="X28" s="731">
        <f>IF(X4&gt;'Project Assumptions'!$F$39,0,X29-X27)</f>
        <v>0</v>
      </c>
      <c r="Y28" s="731">
        <f>IF(Y4&gt;'Project Assumptions'!$F$39,0,Y29-Y27)</f>
        <v>0</v>
      </c>
      <c r="Z28" s="731">
        <f>IF(Z4&gt;'Project Assumptions'!$F$39,0,Z29-Z27)</f>
        <v>0</v>
      </c>
      <c r="AA28" s="731">
        <f>IF(AA4&gt;'Project Assumptions'!$F$39,0,AA29-AA27)</f>
        <v>0</v>
      </c>
      <c r="AB28" s="731">
        <f>IF(AB4&gt;'Project Assumptions'!$F$39,0,AB29-AB27)</f>
        <v>0</v>
      </c>
      <c r="AC28" s="732">
        <f>IF(AC4&gt;'Project Assumptions'!$F$39,0,AC29-AC27)</f>
        <v>0</v>
      </c>
    </row>
    <row r="29" spans="1:30">
      <c r="A29" s="456" t="s">
        <v>103</v>
      </c>
      <c r="B29" s="58"/>
      <c r="C29" s="58"/>
      <c r="D29" s="58"/>
      <c r="E29" s="731">
        <f>IF(E4&gt;'Project Assumptions'!$F$39,0,E19)</f>
        <v>6360.0085939904584</v>
      </c>
      <c r="F29" s="731">
        <f>IF(F4&gt;'Project Assumptions'!$F$39,0,F19)</f>
        <v>11129.21724201777</v>
      </c>
      <c r="G29" s="731">
        <f>IF(G4&gt;'Project Assumptions'!$F$39,0,G19)</f>
        <v>11080.3356247624</v>
      </c>
      <c r="H29" s="731">
        <f>IF(H4&gt;'Project Assumptions'!$F$39,0,H19)</f>
        <v>17686.789154318994</v>
      </c>
      <c r="I29" s="731">
        <f>IF(I4&gt;'Project Assumptions'!$F$39,0,I19)</f>
        <v>0</v>
      </c>
      <c r="J29" s="731">
        <f>IF(J4&gt;'Project Assumptions'!$F$39,0,J19)</f>
        <v>0</v>
      </c>
      <c r="K29" s="731">
        <f>IF(K4&gt;'Project Assumptions'!$F$39,0,K19)</f>
        <v>0</v>
      </c>
      <c r="L29" s="731">
        <f>IF(L4&gt;'Project Assumptions'!$F$39,0,L19)</f>
        <v>0</v>
      </c>
      <c r="M29" s="731">
        <f>IF(M4&gt;'Project Assumptions'!$F$39,0,M19)</f>
        <v>0</v>
      </c>
      <c r="N29" s="731">
        <f>IF(N4&gt;'Project Assumptions'!$F$39,0,N19)</f>
        <v>0</v>
      </c>
      <c r="O29" s="731">
        <f>IF(O4&gt;'Project Assumptions'!$F$39,0,O19)</f>
        <v>0</v>
      </c>
      <c r="P29" s="731">
        <f>IF(P4&gt;'Project Assumptions'!$F$39,0,P19)</f>
        <v>0</v>
      </c>
      <c r="Q29" s="731">
        <f>IF(Q4&gt;'Project Assumptions'!$F$39,0,Q19)</f>
        <v>0</v>
      </c>
      <c r="R29" s="731">
        <f>IF(R4&gt;'Project Assumptions'!$F$39,0,R19)</f>
        <v>0</v>
      </c>
      <c r="S29" s="731">
        <f>IF(S4&gt;'Project Assumptions'!$F$39,0,S19)</f>
        <v>0</v>
      </c>
      <c r="T29" s="731">
        <f>IF(T4&gt;'Project Assumptions'!$F$39,0,T19)</f>
        <v>0</v>
      </c>
      <c r="U29" s="731">
        <f>IF(U4&gt;'Project Assumptions'!$F$39,0,U19)</f>
        <v>0</v>
      </c>
      <c r="V29" s="731">
        <f>IF(V4&gt;'Project Assumptions'!$F$39,0,V19)</f>
        <v>0</v>
      </c>
      <c r="W29" s="731">
        <f>IF(W4&gt;'Project Assumptions'!$F$39,0,W19)</f>
        <v>0</v>
      </c>
      <c r="X29" s="731">
        <f>IF(X4&gt;'Project Assumptions'!$F$39,0,X19)</f>
        <v>0</v>
      </c>
      <c r="Y29" s="731">
        <f>IF(Y4&gt;'Project Assumptions'!$F$39,0,Y19)</f>
        <v>0</v>
      </c>
      <c r="Z29" s="731">
        <f>IF(Z4&gt;'Project Assumptions'!$F$39,0,Z19)</f>
        <v>0</v>
      </c>
      <c r="AA29" s="731">
        <f>IF(AA4&gt;'Project Assumptions'!$F$39,0,AA19)</f>
        <v>0</v>
      </c>
      <c r="AB29" s="731">
        <f>IF(AB4&gt;'Project Assumptions'!$F$39,0,AB19)</f>
        <v>0</v>
      </c>
      <c r="AC29" s="732">
        <f>IF(AC4&gt;'Project Assumptions'!$F$39,0,AC19)</f>
        <v>0</v>
      </c>
    </row>
    <row r="30" spans="1:30">
      <c r="A30" s="456" t="s">
        <v>104</v>
      </c>
      <c r="B30" s="58"/>
      <c r="C30" s="58"/>
      <c r="D30" s="58"/>
      <c r="E30" s="697">
        <f>IF(E4&lt;'Project Assumptions'!$F$39,E26-E28,IF(AND(E4='Project Assumptions'!$F$39,E26-E28&gt;1),"ERROR",IF(E4&gt;'Project Assumptions'!$F$39,0,E26-E28)))</f>
        <v>34702.00882648096</v>
      </c>
      <c r="F30" s="697">
        <f>IF(F4&lt;'Project Assumptions'!$F$39,F26-F28,IF(AND(F4='Project Assumptions'!$F$39,F26-F28&gt;1),"ERROR",IF(F4&gt;'Project Assumptions'!$F$39,0,F26-F28)))</f>
        <v>25908.236778485356</v>
      </c>
      <c r="G30" s="697">
        <f>IF(G4&lt;'Project Assumptions'!$F$39,G26-G28,IF(AND(G4='Project Assumptions'!$F$39,G26-G28&gt;1),"ERROR",IF(G4&gt;'Project Assumptions'!$F$39,0,G26-G28)))</f>
        <v>16571.52548891502</v>
      </c>
      <c r="H30" s="697">
        <f>IF(H4&lt;'Project Assumptions'!$F$39,H26-H28,IF(AND(H4='Project Assumptions'!$F$39,H26-H28&gt;1),"ERROR",IF(H4&gt;'Project Assumptions'!$F$39,0,H26-H28)))</f>
        <v>7.2759576141834259E-12</v>
      </c>
      <c r="I30" s="697">
        <f>IF(I4&lt;'Project Assumptions'!$F$39,I26-I28,IF(AND(I4='Project Assumptions'!$F$39,I26-I28&gt;1),"ERROR",IF(I4&gt;'Project Assumptions'!$F$39,0,I26-I28)))</f>
        <v>0</v>
      </c>
      <c r="J30" s="697">
        <f>IF(J4&lt;'Project Assumptions'!$F$39,J26-J28,IF(AND(J4='Project Assumptions'!$F$39,J26-J28&gt;1),"ERROR",IF(J4&gt;'Project Assumptions'!$F$39,0,J26-J28)))</f>
        <v>0</v>
      </c>
      <c r="K30" s="697">
        <f>IF(K4&lt;'Project Assumptions'!$F$39,K26-K28,IF(AND(K4='Project Assumptions'!$F$39,K26-K28&gt;1),"ERROR",IF(K4&gt;'Project Assumptions'!$F$39,0,K26-K28)))</f>
        <v>0</v>
      </c>
      <c r="L30" s="697">
        <f>IF(L4&lt;'Project Assumptions'!$F$39,L26-L28,IF(AND(L4='Project Assumptions'!$F$39,L26-L28&gt;1),"ERROR",IF(L4&gt;'Project Assumptions'!$F$39,0,L26-L28)))</f>
        <v>0</v>
      </c>
      <c r="M30" s="697">
        <f>IF(M4&lt;'Project Assumptions'!$F$39,M26-M28,IF(AND(M4='Project Assumptions'!$F$39,M26-M28&gt;1),"ERROR",IF(M4&gt;'Project Assumptions'!$F$39,0,M26-M28)))</f>
        <v>0</v>
      </c>
      <c r="N30" s="697">
        <f>IF(N4&lt;'Project Assumptions'!$F$39,N26-N28,IF(AND(N4='Project Assumptions'!$F$39,N26-N28&gt;1),"ERROR",IF(N4&gt;'Project Assumptions'!$F$39,0,N26-N28)))</f>
        <v>0</v>
      </c>
      <c r="O30" s="697">
        <f>IF(O4&lt;'Project Assumptions'!$F$39,O26-O28,IF(AND(O4='Project Assumptions'!$F$39,O26-O28&gt;1),"ERROR",IF(O4&gt;'Project Assumptions'!$F$39,0,O26-O28)))</f>
        <v>0</v>
      </c>
      <c r="P30" s="697">
        <f>IF(P4&lt;'Project Assumptions'!$F$39,P26-P28,IF(AND(P4='Project Assumptions'!$F$39,P26-P28&gt;1),"ERROR",IF(P4&gt;'Project Assumptions'!$F$39,0,P26-P28)))</f>
        <v>0</v>
      </c>
      <c r="Q30" s="697">
        <f>IF(Q4&lt;'Project Assumptions'!$F$39,Q26-Q28,IF(AND(Q4='Project Assumptions'!$F$39,Q26-Q28&gt;1),"ERROR",IF(Q4&gt;'Project Assumptions'!$F$39,0,Q26-Q28)))</f>
        <v>0</v>
      </c>
      <c r="R30" s="697">
        <f>IF(R4&lt;'Project Assumptions'!$F$39,R26-R28,IF(AND(R4='Project Assumptions'!$F$39,R26-R28&gt;1),"ERROR",IF(R4&gt;'Project Assumptions'!$F$39,0,R26-R28)))</f>
        <v>0</v>
      </c>
      <c r="S30" s="697">
        <f>IF(S4&lt;'Project Assumptions'!$F$39,S26-S28,IF(AND(S4='Project Assumptions'!$F$39,S26-S28&gt;1),"ERROR",IF(S4&gt;'Project Assumptions'!$F$39,0,S26-S28)))</f>
        <v>0</v>
      </c>
      <c r="T30" s="697">
        <f>IF(T4&lt;'Project Assumptions'!$F$39,T26-T28,IF(AND(T4='Project Assumptions'!$F$39,T26-T28&gt;1),"ERROR",IF(T4&gt;'Project Assumptions'!$F$39,0,T26-T28)))</f>
        <v>0</v>
      </c>
      <c r="U30" s="697">
        <f>IF(U4&lt;'Project Assumptions'!$F$39,U26-U28,IF(AND(U4='Project Assumptions'!$F$39,U26-U28&gt;1),"ERROR",IF(U4&gt;'Project Assumptions'!$F$39,0,U26-U28)))</f>
        <v>0</v>
      </c>
      <c r="V30" s="697">
        <f>IF(V4&lt;'Project Assumptions'!$F$39,V26-V28,IF(AND(V4='Project Assumptions'!$F$39,V26-V28&gt;1),"ERROR",IF(V4&gt;'Project Assumptions'!$F$39,0,V26-V28)))</f>
        <v>0</v>
      </c>
      <c r="W30" s="697">
        <f>IF(W4&lt;'Project Assumptions'!$F$39,W26-W28,IF(AND(W4='Project Assumptions'!$F$39,W26-W28&gt;1),"ERROR",IF(W4&gt;'Project Assumptions'!$F$39,0,W26-W28)))</f>
        <v>0</v>
      </c>
      <c r="X30" s="697">
        <f>IF(X4&lt;'Project Assumptions'!$F$39,X26-X28,IF(AND(X4='Project Assumptions'!$F$39,X26-X28&gt;1),"ERROR",IF(X4&gt;'Project Assumptions'!$F$39,0,X26-X28)))</f>
        <v>0</v>
      </c>
      <c r="Y30" s="697">
        <f>IF(Y4&lt;'Project Assumptions'!$F$39,Y26-Y28,IF(AND(Y4='Project Assumptions'!$F$39,Y26-Y28&gt;1),"ERROR",IF(Y4&gt;'Project Assumptions'!$F$39,0,Y26-Y28)))</f>
        <v>0</v>
      </c>
      <c r="Z30" s="697">
        <f>IF(Z4&lt;'Project Assumptions'!$F$39,Z26-Z28,IF(AND(Z4='Project Assumptions'!$F$39,Z26-Z28&gt;1),"ERROR",IF(Z4&gt;'Project Assumptions'!$F$39,0,Z26-Z28)))</f>
        <v>0</v>
      </c>
      <c r="AA30" s="697">
        <f>IF(AA4&lt;'Project Assumptions'!$F$39,AA26-AA28,IF(AND(AA4='Project Assumptions'!$F$39,AA26-AA28&gt;1),"ERROR",IF(AA4&gt;'Project Assumptions'!$F$39,0,AA26-AA28)))</f>
        <v>0</v>
      </c>
      <c r="AB30" s="697">
        <f>IF(AB4&lt;'Project Assumptions'!$F$39,AB26-AB28,IF(AND(AB4='Project Assumptions'!$F$39,AB26-AB28&gt;1),"ERROR",IF(AB4&gt;'Project Assumptions'!$F$39,0,AB26-AB28)))</f>
        <v>0</v>
      </c>
      <c r="AC30" s="698">
        <f>IF(AC4&lt;'Project Assumptions'!$F$39,AC26-AC28,IF(AND(AC4='Project Assumptions'!$F$39,AC26-AC28&gt;1),"ERROR",IF(AC4&gt;'Project Assumptions'!$F$39,0,AC26-AC28)))</f>
        <v>0</v>
      </c>
    </row>
    <row r="31" spans="1:30">
      <c r="A31" s="673" t="s">
        <v>211</v>
      </c>
      <c r="B31" s="454"/>
      <c r="C31" s="454"/>
      <c r="D31" s="454"/>
      <c r="E31" s="733">
        <f>SUMPRODUCT(E4:AC4,E28:AC28)/B19</f>
        <v>2.9534305382363515</v>
      </c>
      <c r="F31" s="734"/>
      <c r="G31" s="734"/>
      <c r="H31" s="734"/>
      <c r="I31" s="734"/>
      <c r="J31" s="734"/>
      <c r="K31" s="734"/>
      <c r="L31" s="734"/>
      <c r="M31" s="734"/>
      <c r="N31" s="734"/>
      <c r="O31" s="720"/>
      <c r="P31" s="734"/>
      <c r="Q31" s="734"/>
      <c r="R31" s="734"/>
      <c r="S31" s="734"/>
      <c r="T31" s="734"/>
      <c r="U31" s="734"/>
      <c r="V31" s="734"/>
      <c r="W31" s="734"/>
      <c r="X31" s="734"/>
      <c r="Y31" s="734"/>
      <c r="Z31" s="734"/>
      <c r="AA31" s="734"/>
      <c r="AB31" s="734"/>
      <c r="AC31" s="735"/>
    </row>
    <row r="32" spans="1:30">
      <c r="D32" s="723"/>
      <c r="E32" s="723"/>
      <c r="F32" s="723"/>
      <c r="G32" s="723"/>
      <c r="H32" s="723"/>
      <c r="I32" s="723"/>
      <c r="J32" s="723"/>
      <c r="K32" s="723"/>
      <c r="L32" s="723"/>
      <c r="M32" s="723"/>
      <c r="N32" s="723"/>
      <c r="O32" s="723"/>
      <c r="P32" s="723"/>
      <c r="Q32" s="723"/>
      <c r="R32" s="723"/>
      <c r="S32" s="723"/>
      <c r="T32" s="723"/>
      <c r="U32" s="723"/>
      <c r="V32" s="723"/>
      <c r="W32" s="723"/>
      <c r="X32" s="723"/>
      <c r="Y32" s="723"/>
      <c r="Z32" s="723"/>
      <c r="AA32" s="723"/>
      <c r="AB32" s="723"/>
    </row>
    <row r="33" spans="1:29">
      <c r="A33" s="726" t="s">
        <v>114</v>
      </c>
      <c r="B33" s="727"/>
      <c r="C33" s="727"/>
      <c r="D33" s="728"/>
      <c r="E33" s="728"/>
      <c r="F33" s="728"/>
      <c r="G33" s="728"/>
      <c r="H33" s="728"/>
      <c r="I33" s="728"/>
      <c r="J33" s="728"/>
      <c r="K33" s="728"/>
      <c r="L33" s="728"/>
      <c r="M33" s="728"/>
      <c r="N33" s="728"/>
      <c r="O33" s="728"/>
      <c r="P33" s="728"/>
      <c r="Q33" s="728"/>
      <c r="R33" s="728"/>
      <c r="S33" s="728"/>
      <c r="T33" s="728"/>
      <c r="U33" s="728"/>
      <c r="V33" s="728"/>
      <c r="W33" s="728"/>
      <c r="X33" s="728"/>
      <c r="Y33" s="728"/>
      <c r="Z33" s="728"/>
      <c r="AA33" s="728"/>
      <c r="AB33" s="728"/>
      <c r="AC33" s="453"/>
    </row>
    <row r="34" spans="1:29">
      <c r="A34" s="456" t="s">
        <v>100</v>
      </c>
      <c r="B34" s="729"/>
      <c r="C34" s="729"/>
      <c r="D34" s="58"/>
      <c r="E34" s="697">
        <f>B20</f>
        <v>84756.04482773738</v>
      </c>
      <c r="F34" s="697">
        <f>IF(F4&gt;'Project Assumptions'!$G$39,0,E38)</f>
        <v>84756.04482773738</v>
      </c>
      <c r="G34" s="697">
        <f>IF(G4&gt;'Project Assumptions'!$G$39,0,F38)</f>
        <v>84756.04482773738</v>
      </c>
      <c r="H34" s="697">
        <f>IF(H4&gt;'Project Assumptions'!$G$39,0,G38)</f>
        <v>84756.04482773738</v>
      </c>
      <c r="I34" s="697">
        <f>IF(I4&gt;'Project Assumptions'!$G$39,0,H38)</f>
        <v>84756.04482773738</v>
      </c>
      <c r="J34" s="697">
        <f>IF(J4&gt;'Project Assumptions'!$G$39,0,I38)</f>
        <v>73635.919013751089</v>
      </c>
      <c r="K34" s="697">
        <f>IF(K4&gt;'Project Assumptions'!$G$39,0,J38)</f>
        <v>61126.24462142172</v>
      </c>
      <c r="L34" s="697">
        <f>IF(L4&gt;'Project Assumptions'!$G$39,0,K38)</f>
        <v>47770.808037090617</v>
      </c>
      <c r="M34" s="697">
        <f>IF(M4&gt;'Project Assumptions'!$G$39,0,L38)</f>
        <v>33194.288152247609</v>
      </c>
      <c r="N34" s="697">
        <f>IF(N4&gt;'Project Assumptions'!$G$39,0,M38)</f>
        <v>17307.959963279274</v>
      </c>
      <c r="O34" s="697">
        <f>IF(O4&gt;'Project Assumptions'!$G$39,0,N38)</f>
        <v>0</v>
      </c>
      <c r="P34" s="697">
        <f>IF(P4&gt;'Project Assumptions'!$G$39,0,O38)</f>
        <v>0</v>
      </c>
      <c r="Q34" s="697">
        <f>IF(Q4&gt;'Project Assumptions'!$G$39,0,P38)</f>
        <v>0</v>
      </c>
      <c r="R34" s="697">
        <f>IF(R4&gt;'Project Assumptions'!$G$39,0,Q38)</f>
        <v>0</v>
      </c>
      <c r="S34" s="697">
        <f>IF(S4&gt;'Project Assumptions'!$G$39,0,R38)</f>
        <v>0</v>
      </c>
      <c r="T34" s="697">
        <f>IF(T4&gt;'Project Assumptions'!$G$39,0,S38)</f>
        <v>0</v>
      </c>
      <c r="U34" s="697">
        <f>IF(U4&gt;'Project Assumptions'!$G$39,0,T38)</f>
        <v>0</v>
      </c>
      <c r="V34" s="697">
        <f>IF(V4&gt;'Project Assumptions'!$G$39,0,U38)</f>
        <v>0</v>
      </c>
      <c r="W34" s="697">
        <f>IF(W4&gt;'Project Assumptions'!$G$39,0,V38)</f>
        <v>0</v>
      </c>
      <c r="X34" s="697">
        <f>IF(X4&gt;'Project Assumptions'!$G$39,0,W38)</f>
        <v>0</v>
      </c>
      <c r="Y34" s="697">
        <f>IF(Y4&gt;'Project Assumptions'!$G$39,0,X38)</f>
        <v>0</v>
      </c>
      <c r="Z34" s="697">
        <f>IF(Z4&gt;'Project Assumptions'!$G$39,0,Y38)</f>
        <v>0</v>
      </c>
      <c r="AA34" s="697">
        <f>IF(AA4&gt;'Project Assumptions'!$G$39,0,Z38)</f>
        <v>0</v>
      </c>
      <c r="AB34" s="697">
        <f>IF(AB4&gt;'Project Assumptions'!$G$39,0,AA38)</f>
        <v>0</v>
      </c>
      <c r="AC34" s="698">
        <f>IF(AC4&gt;'Project Assumptions'!$G$39,0,AB38)</f>
        <v>0</v>
      </c>
    </row>
    <row r="35" spans="1:29">
      <c r="A35" s="456" t="s">
        <v>101</v>
      </c>
      <c r="B35" s="730"/>
      <c r="C35" s="730"/>
      <c r="D35" s="58"/>
      <c r="E35" s="731">
        <f>IF(E4&gt;'Project Assumptions'!$F$39,E34*E13,IF(AND(E4&lt;='Project Assumptions'!$F$39,'Project Assumptions'!$G$42="Interest Only"),E34*E13*(13-MONTH('Project Assumptions'!G16))/12,0))</f>
        <v>3742.6856795181702</v>
      </c>
      <c r="F35" s="731">
        <f>IF(F4&gt;'Project Assumptions'!$F$39,F34*F13,IF(AND(F4&lt;='Project Assumptions'!$F$39,'Project Assumptions'!$G$42="Interest Only"),F34*F13,0))</f>
        <v>6416.0325934597204</v>
      </c>
      <c r="G35" s="731">
        <f>IF(G4&gt;'Project Assumptions'!$F$39,G34*G13,IF(AND(G4&lt;='Project Assumptions'!$F$39,'Project Assumptions'!$G$42="Interest Only"),G34*G13,0))</f>
        <v>6416.0325934597204</v>
      </c>
      <c r="H35" s="731">
        <f>IF(H4&gt;'Project Assumptions'!$F$39,H34*H13,IF(AND(H4&lt;='Project Assumptions'!$F$39,'Project Assumptions'!$G$42="Interest Only"),H34*H13,0))</f>
        <v>6416.0325934597204</v>
      </c>
      <c r="I35" s="731">
        <f>IF(I4&gt;'Project Assumptions'!$F$39,I34*I13,IF(AND(I4&lt;='Project Assumptions'!$F$39,'Project Assumptions'!$G$42="Interest Only"),I34*I13,0))</f>
        <v>6416.0325934597204</v>
      </c>
      <c r="J35" s="731">
        <f>IF(J4&gt;'Project Assumptions'!$F$39,J34*J13,IF(AND(J4&lt;='Project Assumptions'!$F$39,'Project Assumptions'!$G$42="Interest Only"),J34*J13,0))</f>
        <v>5574.2390693409579</v>
      </c>
      <c r="K35" s="731">
        <f>IF(K4&gt;'Project Assumptions'!$F$39,K34*K13,IF(AND(K4&lt;='Project Assumptions'!$F$39,'Project Assumptions'!$G$42="Interest Only"),K34*K13,0))</f>
        <v>4627.2567178416248</v>
      </c>
      <c r="L35" s="731">
        <f>IF(L4&gt;'Project Assumptions'!$F$39,L34*L13,IF(AND(L4&lt;='Project Assumptions'!$F$39,'Project Assumptions'!$G$42="Interest Only"),L34*L13,0))</f>
        <v>3616.2501684077597</v>
      </c>
      <c r="M35" s="731">
        <f>IF(M4&gt;'Project Assumptions'!$F$39,M34*M13,IF(AND(M4&lt;='Project Assumptions'!$F$39,'Project Assumptions'!$G$42="Interest Only"),M34*M13,0))</f>
        <v>2512.8076131251441</v>
      </c>
      <c r="N35" s="731">
        <f>IF(N4&gt;'Project Assumptions'!$F$39,N34*N13,IF(AND(N4&lt;='Project Assumptions'!$F$39,'Project Assumptions'!$G$42="Interest Only"),N34*N13,0))</f>
        <v>1310.2125692202412</v>
      </c>
      <c r="O35" s="731">
        <f>IF(O4&gt;'Project Assumptions'!$F$39,O34*O13,IF(AND(O4&lt;='Project Assumptions'!$F$39,'Project Assumptions'!$G$42="Interest Only"),O34*O13,0))</f>
        <v>0</v>
      </c>
      <c r="P35" s="731">
        <f>IF(P4&gt;'Project Assumptions'!$F$39,P34*P13,IF(AND(P4&lt;='Project Assumptions'!$F$39,'Project Assumptions'!$G$42="Interest Only"),P34*P13,0))</f>
        <v>0</v>
      </c>
      <c r="Q35" s="731">
        <f>IF(Q4&gt;'Project Assumptions'!$F$39,Q34*Q13,IF(AND(Q4&lt;='Project Assumptions'!$F$39,'Project Assumptions'!$G$42="Interest Only"),Q34*Q13,0))</f>
        <v>0</v>
      </c>
      <c r="R35" s="731">
        <f>IF(R4&gt;'Project Assumptions'!$F$39,R34*R13,IF(AND(R4&lt;='Project Assumptions'!$F$39,'Project Assumptions'!$G$42="Interest Only"),R34*R13,0))</f>
        <v>0</v>
      </c>
      <c r="S35" s="731">
        <f>IF(S4&gt;'Project Assumptions'!$F$39,S34*S13,IF(AND(S4&lt;='Project Assumptions'!$F$39,'Project Assumptions'!$G$42="Interest Only"),S34*S13,0))</f>
        <v>0</v>
      </c>
      <c r="T35" s="731">
        <f>IF(T4&gt;'Project Assumptions'!$F$39,T34*T13,IF(AND(T4&lt;='Project Assumptions'!$F$39,'Project Assumptions'!$G$42="Interest Only"),T34*T13,0))</f>
        <v>0</v>
      </c>
      <c r="U35" s="731">
        <f>IF(U4&gt;'Project Assumptions'!$F$39,U34*U13,IF(AND(U4&lt;='Project Assumptions'!$F$39,'Project Assumptions'!$G$42="Interest Only"),U34*U13,0))</f>
        <v>0</v>
      </c>
      <c r="V35" s="731">
        <f>IF(V4&gt;'Project Assumptions'!$F$39,V34*V13,IF(AND(V4&lt;='Project Assumptions'!$F$39,'Project Assumptions'!$G$42="Interest Only"),V34*V13,0))</f>
        <v>0</v>
      </c>
      <c r="W35" s="731">
        <f>IF(W4&gt;'Project Assumptions'!$F$39,W34*W13,IF(AND(W4&lt;='Project Assumptions'!$F$39,'Project Assumptions'!$G$42="Interest Only"),W34*W13,0))</f>
        <v>0</v>
      </c>
      <c r="X35" s="731">
        <f>IF(X4&gt;'Project Assumptions'!$F$39,X34*X13,IF(AND(X4&lt;='Project Assumptions'!$F$39,'Project Assumptions'!$G$42="Interest Only"),X34*X13,0))</f>
        <v>0</v>
      </c>
      <c r="Y35" s="731">
        <f>IF(Y4&gt;'Project Assumptions'!$F$39,Y34*Y13,IF(AND(Y4&lt;='Project Assumptions'!$F$39,'Project Assumptions'!$G$42="Interest Only"),Y34*Y13,0))</f>
        <v>0</v>
      </c>
      <c r="Z35" s="731">
        <f>IF(Z4&gt;'Project Assumptions'!$F$39,Z34*Z13,IF(AND(Z4&lt;='Project Assumptions'!$F$39,'Project Assumptions'!$G$42="Interest Only"),Z34*Z13,0))</f>
        <v>0</v>
      </c>
      <c r="AA35" s="731">
        <f>IF(AA4&gt;'Project Assumptions'!$F$39,AA34*AA13,IF(AND(AA4&lt;='Project Assumptions'!$F$39,'Project Assumptions'!$G$42="Interest Only"),AA34*AA13,0))</f>
        <v>0</v>
      </c>
      <c r="AB35" s="731">
        <f>IF(AB4&gt;'Project Assumptions'!$F$39,AB34*AB13,IF(AND(AB4&lt;='Project Assumptions'!$F$39,'Project Assumptions'!$G$42="Interest Only"),AB34*AB13,0))</f>
        <v>0</v>
      </c>
      <c r="AC35" s="732">
        <f>IF(AC4&gt;'Project Assumptions'!$F$39,AC34*AC13,IF(AND(AC4&lt;='Project Assumptions'!$F$39,'Project Assumptions'!$G$42="Interest Only"),AC34*AC13,0))</f>
        <v>0</v>
      </c>
    </row>
    <row r="36" spans="1:29">
      <c r="A36" s="456" t="s">
        <v>102</v>
      </c>
      <c r="B36" s="736"/>
      <c r="C36" s="736"/>
      <c r="D36" s="58"/>
      <c r="E36" s="731">
        <f>IF(OR(E4&lt;='Project Assumptions'!$F$39,E4&gt;'Project Assumptions'!$G$39),0,E37-E35)</f>
        <v>0</v>
      </c>
      <c r="F36" s="731">
        <f>IF(OR(F4&lt;='Project Assumptions'!$F$39,F4&gt;'Project Assumptions'!$G$39),0,F37-F35)</f>
        <v>0</v>
      </c>
      <c r="G36" s="731">
        <f>IF(OR(G4&lt;='Project Assumptions'!$F$39,G4&gt;'Project Assumptions'!$G$39),0,G37-G35)</f>
        <v>0</v>
      </c>
      <c r="H36" s="731">
        <f>IF(OR(H4&lt;='Project Assumptions'!$F$39,H4&gt;'Project Assumptions'!$G$39),0,H37-H35)</f>
        <v>0</v>
      </c>
      <c r="I36" s="731">
        <f>IF(OR(I4&lt;='Project Assumptions'!$F$39,I4&gt;'Project Assumptions'!$G$39),0,I37-I35)</f>
        <v>11120.125813986298</v>
      </c>
      <c r="J36" s="731">
        <f>IF(OR(J4&lt;='Project Assumptions'!$F$39,J4&gt;'Project Assumptions'!$G$39),0,J37-J35)</f>
        <v>12509.674392329372</v>
      </c>
      <c r="K36" s="731">
        <f>IF(OR(K4&lt;='Project Assumptions'!$F$39,K4&gt;'Project Assumptions'!$G$39),0,K37-K35)</f>
        <v>13355.436584331102</v>
      </c>
      <c r="L36" s="731">
        <f>IF(OR(L4&lt;='Project Assumptions'!$F$39,L4&gt;'Project Assumptions'!$G$39),0,L37-L35)</f>
        <v>14576.519884843006</v>
      </c>
      <c r="M36" s="731">
        <f>IF(OR(M4&lt;='Project Assumptions'!$F$39,M4&gt;'Project Assumptions'!$G$39),0,M37-M35)</f>
        <v>15886.328188968335</v>
      </c>
      <c r="N36" s="731">
        <f>IF(OR(N4&lt;='Project Assumptions'!$F$39,N4&gt;'Project Assumptions'!$G$39),0,N37-N35)</f>
        <v>17307.959963279271</v>
      </c>
      <c r="O36" s="731">
        <f>IF(OR(O4&lt;='Project Assumptions'!$F$39,O4&gt;'Project Assumptions'!$G$39),0,O37-O35)</f>
        <v>0</v>
      </c>
      <c r="P36" s="731">
        <f>IF(OR(P4&lt;='Project Assumptions'!$F$39,P4&gt;'Project Assumptions'!$G$39),0,P37-P35)</f>
        <v>0</v>
      </c>
      <c r="Q36" s="731">
        <f>IF(OR(Q4&lt;='Project Assumptions'!$F$39,Q4&gt;'Project Assumptions'!$G$39),0,Q37-Q35)</f>
        <v>0</v>
      </c>
      <c r="R36" s="731">
        <f>IF(OR(R4&lt;='Project Assumptions'!$F$39,R4&gt;'Project Assumptions'!$G$39),0,R37-R35)</f>
        <v>0</v>
      </c>
      <c r="S36" s="731">
        <f>IF(OR(S4&lt;='Project Assumptions'!$F$39,S4&gt;'Project Assumptions'!$G$39),0,S37-S35)</f>
        <v>0</v>
      </c>
      <c r="T36" s="731">
        <f>IF(OR(T4&lt;='Project Assumptions'!$F$39,T4&gt;'Project Assumptions'!$G$39),0,T37-T35)</f>
        <v>0</v>
      </c>
      <c r="U36" s="731">
        <f>IF(OR(U4&lt;='Project Assumptions'!$F$39,U4&gt;'Project Assumptions'!$G$39),0,U37-U35)</f>
        <v>0</v>
      </c>
      <c r="V36" s="731">
        <f>IF(OR(V4&lt;='Project Assumptions'!$F$39,V4&gt;'Project Assumptions'!$G$39),0,V37-V35)</f>
        <v>0</v>
      </c>
      <c r="W36" s="731">
        <f>IF(OR(W4&lt;='Project Assumptions'!$F$39,W4&gt;'Project Assumptions'!$G$39),0,W37-W35)</f>
        <v>0</v>
      </c>
      <c r="X36" s="731">
        <f>IF(OR(X4&lt;='Project Assumptions'!$F$39,X4&gt;'Project Assumptions'!$G$39),0,X37-X35)</f>
        <v>0</v>
      </c>
      <c r="Y36" s="731">
        <f>IF(OR(Y4&lt;='Project Assumptions'!$F$39,Y4&gt;'Project Assumptions'!$G$39),0,Y37-Y35)</f>
        <v>0</v>
      </c>
      <c r="Z36" s="731">
        <f>IF(OR(Z4&lt;='Project Assumptions'!$F$39,Z4&gt;'Project Assumptions'!$G$39),0,Z37-Z35)</f>
        <v>0</v>
      </c>
      <c r="AA36" s="731">
        <f>IF(OR(AA4&lt;='Project Assumptions'!$F$39,AA4&gt;'Project Assumptions'!$G$39),0,AA37-AA35)</f>
        <v>0</v>
      </c>
      <c r="AB36" s="731">
        <f>IF(OR(AB4&lt;='Project Assumptions'!$F$39,AB4&gt;'Project Assumptions'!$G$39),0,AB37-AB35)</f>
        <v>0</v>
      </c>
      <c r="AC36" s="732">
        <f>IF(OR(AC4&lt;='Project Assumptions'!$F$39,AC4&gt;'Project Assumptions'!$G$39),0,AC37-AC35)</f>
        <v>0</v>
      </c>
    </row>
    <row r="37" spans="1:29" s="705" customFormat="1">
      <c r="A37" s="701" t="s">
        <v>103</v>
      </c>
      <c r="B37" s="339"/>
      <c r="C37" s="339"/>
      <c r="D37" s="339"/>
      <c r="E37" s="708">
        <f>IF(E4&lt;='Project Assumptions'!$F$39,E35,E20)</f>
        <v>3742.6856795181702</v>
      </c>
      <c r="F37" s="708">
        <f>IF(F4&lt;='Project Assumptions'!$F$39,F35,F20)</f>
        <v>6416.0325934597204</v>
      </c>
      <c r="G37" s="708">
        <f>IF(G4&lt;='Project Assumptions'!$F$39,G35,G20)</f>
        <v>6416.0325934597204</v>
      </c>
      <c r="H37" s="708">
        <f>IF(H4&lt;='Project Assumptions'!$F$39,H35,H20)</f>
        <v>6416.0325934597204</v>
      </c>
      <c r="I37" s="708">
        <f>IF(I4&lt;='Project Assumptions'!$F$39,I35,I20)</f>
        <v>17536.158407446019</v>
      </c>
      <c r="J37" s="708">
        <f>IF(J4&lt;='Project Assumptions'!$F$39,J35,J20)</f>
        <v>18083.91346167033</v>
      </c>
      <c r="K37" s="708">
        <f>IF(K4&lt;='Project Assumptions'!$F$39,K35,K20)</f>
        <v>17982.693302172727</v>
      </c>
      <c r="L37" s="708">
        <f>IF(L4&lt;='Project Assumptions'!$F$39,L35,L20)</f>
        <v>18192.770053250766</v>
      </c>
      <c r="M37" s="708">
        <f>IF(M4&lt;='Project Assumptions'!$F$39,M35,M20)</f>
        <v>18399.135802093479</v>
      </c>
      <c r="N37" s="708">
        <f>IF(N4&lt;='Project Assumptions'!$F$39,N35,N20)</f>
        <v>18618.172532499513</v>
      </c>
      <c r="O37" s="708">
        <f>IF(O4&lt;='Project Assumptions'!$F$39,O35,O20)</f>
        <v>0</v>
      </c>
      <c r="P37" s="708">
        <f>IF(P4&lt;='Project Assumptions'!$F$39,P35,P20)</f>
        <v>0</v>
      </c>
      <c r="Q37" s="708">
        <f>IF(Q4&lt;='Project Assumptions'!$F$39,Q35,Q20)</f>
        <v>0</v>
      </c>
      <c r="R37" s="708">
        <f>IF(R4&lt;='Project Assumptions'!$F$39,R35,R20)</f>
        <v>0</v>
      </c>
      <c r="S37" s="708">
        <f>IF(S4&lt;='Project Assumptions'!$F$39,S35,S20)</f>
        <v>0</v>
      </c>
      <c r="T37" s="708">
        <f>IF(T4&lt;='Project Assumptions'!$F$39,T35,T20)</f>
        <v>0</v>
      </c>
      <c r="U37" s="708">
        <f>IF(U4&lt;='Project Assumptions'!$F$39,U35,U20)</f>
        <v>0</v>
      </c>
      <c r="V37" s="708">
        <f>IF(V4&lt;='Project Assumptions'!$F$39,V35,V20)</f>
        <v>0</v>
      </c>
      <c r="W37" s="708">
        <f>IF(W4&lt;='Project Assumptions'!$F$39,W35,W20)</f>
        <v>0</v>
      </c>
      <c r="X37" s="708">
        <f>IF(X4&lt;='Project Assumptions'!$F$39,X35,X20)</f>
        <v>0</v>
      </c>
      <c r="Y37" s="708">
        <f>IF(Y4&lt;='Project Assumptions'!$F$39,Y35,Y20)</f>
        <v>0</v>
      </c>
      <c r="Z37" s="708">
        <f>IF(Z4&lt;='Project Assumptions'!$F$39,Z35,Z20)</f>
        <v>0</v>
      </c>
      <c r="AA37" s="708">
        <f>IF(AA4&lt;='Project Assumptions'!$F$39,AA35,AA20)</f>
        <v>0</v>
      </c>
      <c r="AB37" s="708">
        <f>IF(AB4&lt;='Project Assumptions'!$F$39,AB35,AB20)</f>
        <v>0</v>
      </c>
      <c r="AC37" s="712">
        <f>IF(AC4&lt;='Project Assumptions'!$F$39,AC35,AC20)</f>
        <v>0</v>
      </c>
    </row>
    <row r="38" spans="1:29" s="705" customFormat="1" ht="12.6" customHeight="1">
      <c r="A38" s="701" t="s">
        <v>104</v>
      </c>
      <c r="B38" s="737"/>
      <c r="C38" s="737"/>
      <c r="D38" s="339"/>
      <c r="E38" s="697">
        <f>IF(E4&lt;'Project Assumptions'!$G$39,E34-E36,IF(E4&gt;'Project Assumptions'!$G$39,0,E34-E36))</f>
        <v>84756.04482773738</v>
      </c>
      <c r="F38" s="697">
        <f>IF(F4&lt;'Project Assumptions'!$G$39,F34-F36,IF(F4&gt;'Project Assumptions'!$G$39,0,F34-F36))</f>
        <v>84756.04482773738</v>
      </c>
      <c r="G38" s="697">
        <f>IF(G4&lt;'Project Assumptions'!$G$39,G34-G36,IF(G4&gt;'Project Assumptions'!$G$39,0,G34-G36))</f>
        <v>84756.04482773738</v>
      </c>
      <c r="H38" s="697">
        <f>IF(H4&lt;'Project Assumptions'!$G$39,H34-H36,IF(H4&gt;'Project Assumptions'!$G$39,0,H34-H36))</f>
        <v>84756.04482773738</v>
      </c>
      <c r="I38" s="697">
        <f>IF(I4&lt;'Project Assumptions'!$G$39,I34-I36,IF(I4&gt;'Project Assumptions'!$G$39,0,I34-I36))</f>
        <v>73635.919013751089</v>
      </c>
      <c r="J38" s="697">
        <f>IF(J4&lt;'Project Assumptions'!$G$39,J34-J36,IF(J4&gt;'Project Assumptions'!$G$39,0,J34-J36))</f>
        <v>61126.24462142172</v>
      </c>
      <c r="K38" s="697">
        <f>IF(K4&lt;'Project Assumptions'!$G$39,K34-K36,IF(K4&gt;'Project Assumptions'!$G$39,0,K34-K36))</f>
        <v>47770.808037090617</v>
      </c>
      <c r="L38" s="697">
        <f>IF(L4&lt;'Project Assumptions'!$G$39,L34-L36,IF(L4&gt;'Project Assumptions'!$G$39,0,L34-L36))</f>
        <v>33194.288152247609</v>
      </c>
      <c r="M38" s="697">
        <f>IF(M4&lt;'Project Assumptions'!$G$39,M34-M36,IF(M4&gt;'Project Assumptions'!$G$39,0,M34-M36))</f>
        <v>17307.959963279274</v>
      </c>
      <c r="N38" s="697">
        <f>IF(N4&lt;'Project Assumptions'!$G$39,N34-N36,IF(N4&gt;'Project Assumptions'!$G$39,0,N34-N36))</f>
        <v>3.637978807091713E-12</v>
      </c>
      <c r="O38" s="697">
        <f>IF(O4&lt;'Project Assumptions'!$G$39,O34-O36,IF(O4&gt;'Project Assumptions'!$G$39,0,O34-O36))</f>
        <v>0</v>
      </c>
      <c r="P38" s="697">
        <f>IF(P4&lt;'Project Assumptions'!$G$39,P34-P36,IF(P4&gt;'Project Assumptions'!$G$39,0,P34-P36))</f>
        <v>0</v>
      </c>
      <c r="Q38" s="697">
        <f>IF(Q4&lt;'Project Assumptions'!$G$39,Q34-Q36,IF(Q4&gt;'Project Assumptions'!$G$39,0,Q34-Q36))</f>
        <v>0</v>
      </c>
      <c r="R38" s="697">
        <f>IF(R4&lt;'Project Assumptions'!$G$39,R34-R36,IF(R4&gt;'Project Assumptions'!$G$39,0,R34-R36))</f>
        <v>0</v>
      </c>
      <c r="S38" s="697">
        <f>IF(S4&lt;'Project Assumptions'!$G$39,S34-S36,IF(S4&gt;'Project Assumptions'!$G$39,0,S34-S36))</f>
        <v>0</v>
      </c>
      <c r="T38" s="697">
        <f>IF(T4&lt;'Project Assumptions'!$G$39,T34-T36,IF(T4&gt;'Project Assumptions'!$G$39,0,T34-T36))</f>
        <v>0</v>
      </c>
      <c r="U38" s="697">
        <f>IF(U4&lt;'Project Assumptions'!$G$39,U34-U36,IF(U4&gt;'Project Assumptions'!$G$39,0,U34-U36))</f>
        <v>0</v>
      </c>
      <c r="V38" s="697">
        <f>IF(V4&lt;'Project Assumptions'!$G$39,V34-V36,IF(V4&gt;'Project Assumptions'!$G$39,0,V34-V36))</f>
        <v>0</v>
      </c>
      <c r="W38" s="697">
        <f>IF(W4&lt;'Project Assumptions'!$G$39,W34-W36,IF(W4&gt;'Project Assumptions'!$G$39,0,W34-W36))</f>
        <v>0</v>
      </c>
      <c r="X38" s="697">
        <f>IF(X4&lt;'Project Assumptions'!$G$39,X34-X36,IF(X4&gt;'Project Assumptions'!$G$39,0,X34-X36))</f>
        <v>0</v>
      </c>
      <c r="Y38" s="697">
        <f>IF(Y4&lt;'Project Assumptions'!$G$39,Y34-Y36,IF(Y4&gt;'Project Assumptions'!$G$39,0,Y34-Y36))</f>
        <v>0</v>
      </c>
      <c r="Z38" s="697">
        <f>IF(Z4&lt;'Project Assumptions'!$G$39,Z34-Z36,IF(Z4&gt;'Project Assumptions'!$G$39,0,Z34-Z36))</f>
        <v>0</v>
      </c>
      <c r="AA38" s="697">
        <f>IF(AA4&lt;'Project Assumptions'!$G$39,AA34-AA36,IF(AA4&gt;'Project Assumptions'!$G$39,0,AA34-AA36))</f>
        <v>0</v>
      </c>
      <c r="AB38" s="697">
        <f>IF(AB4&lt;'Project Assumptions'!$G$39,AB34-AB36,IF(AB4&gt;'Project Assumptions'!$G$39,0,AB34-AB36))</f>
        <v>0</v>
      </c>
      <c r="AC38" s="698">
        <f>IF(AC4&lt;'Project Assumptions'!$G$39,AC34-AC36,IF(AC4&gt;'Project Assumptions'!$G$39,0,AC34-AC36))</f>
        <v>0</v>
      </c>
    </row>
    <row r="39" spans="1:29" s="705" customFormat="1" ht="12.6" customHeight="1">
      <c r="A39" s="738" t="s">
        <v>211</v>
      </c>
      <c r="B39" s="739"/>
      <c r="C39" s="739"/>
      <c r="D39" s="719"/>
      <c r="E39" s="740">
        <f>IF('Project Assumptions'!$G$39&gt;0,SUMPRODUCT(E4:AC4,E36:AC36)/B20,0)</f>
        <v>7.7494820016840471</v>
      </c>
      <c r="F39" s="720"/>
      <c r="G39" s="720"/>
      <c r="H39" s="720"/>
      <c r="I39" s="720"/>
      <c r="J39" s="720"/>
      <c r="K39" s="720"/>
      <c r="L39" s="720"/>
      <c r="M39" s="720"/>
      <c r="N39" s="720"/>
      <c r="O39" s="720"/>
      <c r="P39" s="720"/>
      <c r="Q39" s="720"/>
      <c r="R39" s="720"/>
      <c r="S39" s="720"/>
      <c r="T39" s="720"/>
      <c r="U39" s="720"/>
      <c r="V39" s="720"/>
      <c r="W39" s="720"/>
      <c r="X39" s="720"/>
      <c r="Y39" s="720"/>
      <c r="Z39" s="720"/>
      <c r="AA39" s="720"/>
      <c r="AB39" s="720"/>
      <c r="AC39" s="721"/>
    </row>
    <row r="40" spans="1:29">
      <c r="E40" s="723"/>
      <c r="F40" s="723"/>
      <c r="G40" s="723"/>
      <c r="H40" s="723"/>
      <c r="I40" s="723"/>
      <c r="J40" s="723"/>
      <c r="K40" s="723"/>
      <c r="L40" s="723"/>
      <c r="M40" s="723"/>
      <c r="N40" s="723"/>
      <c r="O40" s="723"/>
      <c r="P40" s="723"/>
      <c r="Q40" s="723"/>
      <c r="R40" s="723"/>
      <c r="S40" s="741"/>
      <c r="T40" s="723"/>
      <c r="U40" s="723"/>
      <c r="V40" s="723"/>
      <c r="W40" s="723"/>
      <c r="X40" s="723"/>
      <c r="Y40" s="723"/>
      <c r="Z40" s="723"/>
      <c r="AA40" s="723"/>
      <c r="AB40" s="723"/>
      <c r="AC40" s="723"/>
    </row>
    <row r="41" spans="1:29" s="705" customFormat="1">
      <c r="A41" s="742" t="s">
        <v>187</v>
      </c>
      <c r="B41" s="743"/>
      <c r="C41" s="743"/>
      <c r="D41" s="744"/>
      <c r="E41" s="745"/>
      <c r="F41" s="744"/>
      <c r="G41" s="744"/>
      <c r="H41" s="744"/>
      <c r="I41" s="744"/>
      <c r="J41" s="744"/>
      <c r="K41" s="744"/>
      <c r="L41" s="744"/>
      <c r="M41" s="744"/>
      <c r="N41" s="744"/>
      <c r="O41" s="744"/>
      <c r="P41" s="744"/>
      <c r="Q41" s="744"/>
      <c r="R41" s="744"/>
      <c r="S41" s="746"/>
      <c r="T41" s="744"/>
      <c r="U41" s="744"/>
      <c r="V41" s="744"/>
      <c r="W41" s="744"/>
      <c r="X41" s="744"/>
      <c r="Y41" s="744"/>
      <c r="Z41" s="744"/>
      <c r="AA41" s="744"/>
      <c r="AB41" s="744"/>
      <c r="AC41" s="747"/>
    </row>
    <row r="42" spans="1:29" s="705" customFormat="1" ht="12.6" customHeight="1">
      <c r="A42" s="701" t="s">
        <v>100</v>
      </c>
      <c r="B42" s="748"/>
      <c r="C42" s="748"/>
      <c r="D42" s="339"/>
      <c r="E42" s="697">
        <f>B21</f>
        <v>129657.70274060525</v>
      </c>
      <c r="F42" s="697">
        <f>+IF(F4&gt;'Project Assumptions'!$H$39, 0, E46)</f>
        <v>129657.70274060525</v>
      </c>
      <c r="G42" s="697">
        <f>+IF(G4&gt;'Project Assumptions'!$H$39, 0, F46)</f>
        <v>129657.70274060525</v>
      </c>
      <c r="H42" s="697">
        <f>+IF(H4&gt;'Project Assumptions'!$H$39, 0, G46)</f>
        <v>129657.70274060525</v>
      </c>
      <c r="I42" s="697">
        <f>+IF(I4&gt;'Project Assumptions'!$H$39, 0, H46)</f>
        <v>129657.70274060525</v>
      </c>
      <c r="J42" s="697">
        <f>+IF(J4&gt;'Project Assumptions'!$H$39, 0, I46)</f>
        <v>129657.70274060525</v>
      </c>
      <c r="K42" s="697">
        <f>+IF(K4&gt;'Project Assumptions'!$H$39, 0, J46)</f>
        <v>129657.70274060525</v>
      </c>
      <c r="L42" s="697">
        <f>+IF(L4&gt;'Project Assumptions'!$H$39, 0, K46)</f>
        <v>129657.70274060525</v>
      </c>
      <c r="M42" s="697">
        <f>+IF(M4&gt;'Project Assumptions'!$H$39, 0, L46)</f>
        <v>129657.70274060525</v>
      </c>
      <c r="N42" s="697">
        <f>+IF(N4&gt;'Project Assumptions'!$H$39, 0, M46)</f>
        <v>129657.70274060525</v>
      </c>
      <c r="O42" s="697">
        <f>+IF(O4&gt;'Project Assumptions'!$H$39, 0, N46)</f>
        <v>129657.70274060525</v>
      </c>
      <c r="P42" s="697">
        <f>+IF(P4&gt;'Project Assumptions'!$H$39, 0, O46)</f>
        <v>121447.84309939606</v>
      </c>
      <c r="Q42" s="697">
        <f>+IF(Q4&gt;'Project Assumptions'!$H$39, 0, P46)</f>
        <v>112373.74093933692</v>
      </c>
      <c r="R42" s="697">
        <f>+IF(R4&gt;'Project Assumptions'!$H$39, 0, Q46)</f>
        <v>102370.19100511313</v>
      </c>
      <c r="S42" s="697">
        <f>+IF(S4&gt;'Project Assumptions'!$H$39, 0, R46)</f>
        <v>91350.363333880348</v>
      </c>
      <c r="T42" s="697">
        <f>+IF(T4&gt;'Project Assumptions'!$H$39, 0, S46)</f>
        <v>79254.440720132261</v>
      </c>
      <c r="U42" s="697">
        <f>+IF(U4&gt;'Project Assumptions'!$H$39, 0, T46)</f>
        <v>66001.47350824115</v>
      </c>
      <c r="V42" s="697">
        <f>+IF(V4&gt;'Project Assumptions'!$H$39, 0, U46)</f>
        <v>51504.472061124296</v>
      </c>
      <c r="W42" s="697">
        <f>+IF(W4&gt;'Project Assumptions'!$H$39, 0, V46)</f>
        <v>35653.147511355026</v>
      </c>
      <c r="X42" s="697">
        <f>+IF(X4&gt;'Project Assumptions'!$H$39, 0, W46)</f>
        <v>18362.416746295683</v>
      </c>
      <c r="Y42" s="697">
        <f>+IF(Y4&gt;'Project Assumptions'!$H$39, 0, X46)</f>
        <v>0</v>
      </c>
      <c r="Z42" s="697">
        <f>+IF(Z4&gt;'Project Assumptions'!$H$39, 0, Y46)</f>
        <v>0</v>
      </c>
      <c r="AA42" s="697">
        <f>+IF(AA4&gt;'Project Assumptions'!$H$39, 0, Z46)</f>
        <v>0</v>
      </c>
      <c r="AB42" s="697">
        <f>+IF(AB4&gt;'Project Assumptions'!$H$39, 0, AA46)</f>
        <v>0</v>
      </c>
      <c r="AC42" s="698">
        <f>+IF(AC4&gt;'Project Assumptions'!$H$39, 0, AB46)</f>
        <v>0</v>
      </c>
    </row>
    <row r="43" spans="1:29" s="705" customFormat="1" ht="12.6" customHeight="1">
      <c r="A43" s="701" t="s">
        <v>101</v>
      </c>
      <c r="B43" s="749"/>
      <c r="C43" s="749"/>
      <c r="D43" s="339"/>
      <c r="E43" s="731">
        <f>IF('Project Assumptions'!$H$39=0,0,IF(E4&gt;'Project Assumptions'!$G$39,E42*E14,IF(AND(E4&lt;='Project Assumptions'!$G$39,'Project Assumptions'!$H$42="Interest Only"),E42*E14*(13-MONTH('Project Assumptions'!G16))/12,0)))</f>
        <v>0</v>
      </c>
      <c r="F43" s="731">
        <f>IF('Project Assumptions'!$H$39=0,0,IF(F4&gt;'Project Assumptions'!$G$39,F42*F14,IF(AND(F4&lt;='Project Assumptions'!$G$39,'Project Assumptions'!$H$42="Interest Only"),F42*F14,0)))</f>
        <v>0</v>
      </c>
      <c r="G43" s="731">
        <f>IF('Project Assumptions'!$H$39=0,0,IF(G4&gt;'Project Assumptions'!$G$39,G42*G14,IF(AND(G4&lt;='Project Assumptions'!$G$39,'Project Assumptions'!$H$42="Interest Only"),G42*G14,0)))</f>
        <v>0</v>
      </c>
      <c r="H43" s="731">
        <f>IF('Project Assumptions'!$H$39=0,0,IF(H4&gt;'Project Assumptions'!$G$39,H42*H14,IF(AND(H4&lt;='Project Assumptions'!$G$39,'Project Assumptions'!$H$42="Interest Only"),H42*H14,0)))</f>
        <v>0</v>
      </c>
      <c r="I43" s="731">
        <f>IF('Project Assumptions'!$H$39=0,0,IF(I4&gt;'Project Assumptions'!$G$39,I42*I14,IF(AND(I4&lt;='Project Assumptions'!$G$39,'Project Assumptions'!$H$42="Interest Only"),I42*I14,0)))</f>
        <v>0</v>
      </c>
      <c r="J43" s="731">
        <f>IF('Project Assumptions'!$H$39=0,0,IF(J4&gt;'Project Assumptions'!$G$39,J42*J14,IF(AND(J4&lt;='Project Assumptions'!$G$39,'Project Assumptions'!$H$42="Interest Only"),J42*J14,0)))</f>
        <v>0</v>
      </c>
      <c r="K43" s="731">
        <f>IF('Project Assumptions'!$H$39=0,0,IF(K4&gt;'Project Assumptions'!$G$39,K42*K14,IF(AND(K4&lt;='Project Assumptions'!$G$39,'Project Assumptions'!$H$42="Interest Only"),K42*K14,0)))</f>
        <v>0</v>
      </c>
      <c r="L43" s="731">
        <f>IF('Project Assumptions'!$H$39=0,0,IF(L4&gt;'Project Assumptions'!$G$39,L42*L14,IF(AND(L4&lt;='Project Assumptions'!$G$39,'Project Assumptions'!$H$42="Interest Only"),L42*L14,0)))</f>
        <v>0</v>
      </c>
      <c r="M43" s="731">
        <f>IF('Project Assumptions'!$H$39=0,0,IF(M4&gt;'Project Assumptions'!$G$39,M42*M14,IF(AND(M4&lt;='Project Assumptions'!$G$39,'Project Assumptions'!$H$42="Interest Only"),M42*M14,0)))</f>
        <v>0</v>
      </c>
      <c r="N43" s="731">
        <f>IF('Project Assumptions'!$H$39=0,0,IF(N4&gt;'Project Assumptions'!$G$39,N42*N14,IF(AND(N4&lt;='Project Assumptions'!$G$39,'Project Assumptions'!$H$42="Interest Only"),N42*N14,0)))</f>
        <v>0</v>
      </c>
      <c r="O43" s="731">
        <f>IF('Project Assumptions'!$H$39=0,0,IF(O4&gt;'Project Assumptions'!$G$39,O42*O14,IF(AND(O4&lt;='Project Assumptions'!$G$39,'Project Assumptions'!$H$42="Interest Only"),O42*O14,0)))</f>
        <v>10606.000084181509</v>
      </c>
      <c r="P43" s="731">
        <f>IF('Project Assumptions'!$H$39=0,0,IF(P4&gt;'Project Assumptions'!$G$39,P42*P14,IF(AND(P4&lt;='Project Assumptions'!$G$39,'Project Assumptions'!$H$42="Interest Only"),P42*P14,0)))</f>
        <v>9934.4335655305986</v>
      </c>
      <c r="Q43" s="731">
        <f>IF('Project Assumptions'!$H$39=0,0,IF(Q4&gt;'Project Assumptions'!$G$39,Q42*Q14,IF(AND(Q4&lt;='Project Assumptions'!$G$39,'Project Assumptions'!$H$42="Interest Only"),Q42*Q14,0)))</f>
        <v>9192.1720088377588</v>
      </c>
      <c r="R43" s="731">
        <f>IF('Project Assumptions'!$H$39=0,0,IF(R4&gt;'Project Assumptions'!$G$39,R42*R14,IF(AND(R4&lt;='Project Assumptions'!$G$39,'Project Assumptions'!$H$42="Interest Only"),R42*R14,0)))</f>
        <v>8373.8816242182529</v>
      </c>
      <c r="S43" s="731">
        <f>IF('Project Assumptions'!$H$39=0,0,IF(S4&gt;'Project Assumptions'!$G$39,S42*S14,IF(AND(S4&lt;='Project Assumptions'!$G$39,'Project Assumptions'!$H$42="Interest Only"),S42*S14,0)))</f>
        <v>7472.459720711412</v>
      </c>
      <c r="T43" s="731">
        <f>IF('Project Assumptions'!$H$39=0,0,IF(T4&gt;'Project Assumptions'!$G$39,T42*T14,IF(AND(T4&lt;='Project Assumptions'!$G$39,'Project Assumptions'!$H$42="Interest Only"),T42*T14,0)))</f>
        <v>6483.0132509068189</v>
      </c>
      <c r="U43" s="731">
        <f>IF('Project Assumptions'!$H$39=0,0,IF(U4&gt;'Project Assumptions'!$G$39,U42*U14,IF(AND(U4&lt;='Project Assumptions'!$G$39,'Project Assumptions'!$H$42="Interest Only"),U42*U14,0)))</f>
        <v>5398.9205329741262</v>
      </c>
      <c r="V43" s="731">
        <f>IF('Project Assumptions'!$H$39=0,0,IF(V4&gt;'Project Assumptions'!$G$39,V42*V14,IF(AND(V4&lt;='Project Assumptions'!$G$39,'Project Assumptions'!$H$42="Interest Only"),V42*V14,0)))</f>
        <v>4213.0658145999669</v>
      </c>
      <c r="W43" s="731">
        <f>IF('Project Assumptions'!$H$39=0,0,IF(W4&gt;'Project Assumptions'!$G$39,W42*W14,IF(AND(W4&lt;='Project Assumptions'!$G$39,'Project Assumptions'!$H$42="Interest Only"),W42*W14,0)))</f>
        <v>2916.4274664288409</v>
      </c>
      <c r="X43" s="731">
        <f>IF('Project Assumptions'!$H$39=0,0,IF(X4&gt;'Project Assumptions'!$G$39,X42*X14,IF(AND(X4&lt;='Project Assumptions'!$G$39,'Project Assumptions'!$H$42="Interest Only"),X42*X14,0)))</f>
        <v>1502.0456898469868</v>
      </c>
      <c r="Y43" s="731">
        <f>IF('Project Assumptions'!$H$39=0,0,IF(Y4&gt;'Project Assumptions'!$G$39,Y42*Y14,IF(AND(Y4&lt;='Project Assumptions'!$G$39,'Project Assumptions'!$H$42="Interest Only"),Y42*Y14,0)))</f>
        <v>0</v>
      </c>
      <c r="Z43" s="731">
        <f>IF('Project Assumptions'!$H$39=0,0,IF(Z4&gt;'Project Assumptions'!$G$39,Z42*Z14,IF(AND(Z4&lt;='Project Assumptions'!$G$39,'Project Assumptions'!$H$42="Interest Only"),Z42*Z14,0)))</f>
        <v>0</v>
      </c>
      <c r="AA43" s="731">
        <f>IF('Project Assumptions'!$H$39=0,0,IF(AA4&gt;'Project Assumptions'!$G$39,AA42*AA14,IF(AND(AA4&lt;='Project Assumptions'!$G$39,'Project Assumptions'!$H$42="Interest Only"),AA42*AA14,0)))</f>
        <v>0</v>
      </c>
      <c r="AB43" s="731">
        <f>IF('Project Assumptions'!$H$39=0,0,IF(AB4&gt;'Project Assumptions'!$G$39,AB42*AB14,IF(AND(AB4&lt;='Project Assumptions'!$G$39,'Project Assumptions'!$H$42="Interest Only"),AB42*AB14,0)))</f>
        <v>0</v>
      </c>
      <c r="AC43" s="732">
        <f>IF('Project Assumptions'!$H$39=0,0,IF(AC4&gt;'Project Assumptions'!$G$39,AC42*AC14,IF(AND(AC4&lt;='Project Assumptions'!$G$39,'Project Assumptions'!$H$42="Interest Only"),AC42*AC14,0)))</f>
        <v>0</v>
      </c>
    </row>
    <row r="44" spans="1:29" s="705" customFormat="1" ht="12.6" customHeight="1">
      <c r="A44" s="701" t="s">
        <v>102</v>
      </c>
      <c r="B44" s="750"/>
      <c r="C44" s="750"/>
      <c r="D44" s="339"/>
      <c r="E44" s="751">
        <f>+E45-E43</f>
        <v>0</v>
      </c>
      <c r="F44" s="751">
        <f t="shared" ref="F44:AC44" si="2">+F45-F43</f>
        <v>0</v>
      </c>
      <c r="G44" s="751">
        <f t="shared" si="2"/>
        <v>0</v>
      </c>
      <c r="H44" s="751">
        <f t="shared" si="2"/>
        <v>0</v>
      </c>
      <c r="I44" s="751">
        <f t="shared" si="2"/>
        <v>0</v>
      </c>
      <c r="J44" s="751">
        <f t="shared" si="2"/>
        <v>0</v>
      </c>
      <c r="K44" s="751">
        <f t="shared" si="2"/>
        <v>0</v>
      </c>
      <c r="L44" s="751">
        <f t="shared" si="2"/>
        <v>0</v>
      </c>
      <c r="M44" s="751">
        <f t="shared" si="2"/>
        <v>0</v>
      </c>
      <c r="N44" s="751">
        <f t="shared" si="2"/>
        <v>0</v>
      </c>
      <c r="O44" s="751">
        <f t="shared" si="2"/>
        <v>8209.8596412091902</v>
      </c>
      <c r="P44" s="751">
        <f t="shared" si="2"/>
        <v>9074.1021600591557</v>
      </c>
      <c r="Q44" s="751">
        <f t="shared" si="2"/>
        <v>10003.549934223789</v>
      </c>
      <c r="R44" s="751">
        <f t="shared" si="2"/>
        <v>11019.827671232777</v>
      </c>
      <c r="S44" s="751">
        <f t="shared" si="2"/>
        <v>12095.92261374808</v>
      </c>
      <c r="T44" s="751">
        <f t="shared" si="2"/>
        <v>13252.967211891106</v>
      </c>
      <c r="U44" s="751">
        <f t="shared" si="2"/>
        <v>14497.001447116858</v>
      </c>
      <c r="V44" s="751">
        <f t="shared" si="2"/>
        <v>15851.324549769273</v>
      </c>
      <c r="W44" s="751">
        <f t="shared" si="2"/>
        <v>17290.730765059343</v>
      </c>
      <c r="X44" s="751">
        <f t="shared" si="2"/>
        <v>18362.416746295836</v>
      </c>
      <c r="Y44" s="751">
        <f t="shared" si="2"/>
        <v>0</v>
      </c>
      <c r="Z44" s="751">
        <f t="shared" si="2"/>
        <v>0</v>
      </c>
      <c r="AA44" s="751">
        <f t="shared" si="2"/>
        <v>0</v>
      </c>
      <c r="AB44" s="751">
        <f t="shared" si="2"/>
        <v>0</v>
      </c>
      <c r="AC44" s="752">
        <f t="shared" si="2"/>
        <v>0</v>
      </c>
    </row>
    <row r="45" spans="1:29" s="705" customFormat="1" ht="12.6" customHeight="1">
      <c r="A45" s="701" t="s">
        <v>103</v>
      </c>
      <c r="B45" s="58"/>
      <c r="C45" s="58"/>
      <c r="D45" s="339"/>
      <c r="E45" s="708">
        <f>IF(E4&lt;='Project Assumptions'!$F$39,E43,E21)</f>
        <v>0</v>
      </c>
      <c r="F45" s="708">
        <f>IF(F4&lt;='Project Assumptions'!$F$39,F43,F21)</f>
        <v>0</v>
      </c>
      <c r="G45" s="708">
        <f>IF(G4&lt;='Project Assumptions'!$F$39,G43,G21)</f>
        <v>0</v>
      </c>
      <c r="H45" s="708">
        <f>IF(H4&lt;='Project Assumptions'!$F$39,H43,H21)</f>
        <v>0</v>
      </c>
      <c r="I45" s="708">
        <f>IF(I4&lt;='Project Assumptions'!$F$39,I43,I21)</f>
        <v>0</v>
      </c>
      <c r="J45" s="708">
        <f>IF(J4&lt;='Project Assumptions'!$F$39,J43,J21)</f>
        <v>0</v>
      </c>
      <c r="K45" s="708">
        <f>IF(K4&lt;='Project Assumptions'!$F$39,K43,K21)</f>
        <v>0</v>
      </c>
      <c r="L45" s="708">
        <f>IF(L4&lt;='Project Assumptions'!$F$39,L43,L21)</f>
        <v>0</v>
      </c>
      <c r="M45" s="708">
        <f>IF(M4&lt;='Project Assumptions'!$G$39,M43,M21)</f>
        <v>0</v>
      </c>
      <c r="N45" s="708">
        <f>IF(N4&lt;='Project Assumptions'!$G$39,N43,N21)</f>
        <v>0</v>
      </c>
      <c r="O45" s="708">
        <f>IF(O4&lt;='Project Assumptions'!$G$39,O43,O21)</f>
        <v>18815.859725390699</v>
      </c>
      <c r="P45" s="708">
        <f>IF(P4&lt;='Project Assumptions'!$G$39,P43,P21)</f>
        <v>19008.535725589754</v>
      </c>
      <c r="Q45" s="708">
        <f>IF(Q4&lt;='Project Assumptions'!$G$39,Q43,Q21)</f>
        <v>19195.721943061548</v>
      </c>
      <c r="R45" s="708">
        <f>IF(R4&lt;='Project Assumptions'!$G$39,R43,R21)</f>
        <v>19393.70929545103</v>
      </c>
      <c r="S45" s="708">
        <f>IF(S4&lt;='Project Assumptions'!$G$39,S43,S21)</f>
        <v>19568.382334459493</v>
      </c>
      <c r="T45" s="708">
        <f>IF(T4&lt;='Project Assumptions'!$G$39,T43,T21)</f>
        <v>19735.980462797925</v>
      </c>
      <c r="U45" s="708">
        <f>IF(U4&lt;='Project Assumptions'!$G$39,U43,U21)</f>
        <v>19895.921980090985</v>
      </c>
      <c r="V45" s="708">
        <f>IF(V4&lt;='Project Assumptions'!$G$39,V43,V21)</f>
        <v>20064.390364369239</v>
      </c>
      <c r="W45" s="708">
        <f>IF(W4&lt;='Project Assumptions'!$G$39,W43,W21)</f>
        <v>20207.158231488185</v>
      </c>
      <c r="X45" s="708">
        <f>IF(X4&lt;='Project Assumptions'!$G$39,X43,X21)</f>
        <v>19864.462436142821</v>
      </c>
      <c r="Y45" s="708">
        <f>IF(Y4&lt;='Project Assumptions'!$G$39,Y43,Y21)</f>
        <v>0</v>
      </c>
      <c r="Z45" s="708">
        <f>IF(Z4&lt;='Project Assumptions'!$G$39,Z43,Z21)</f>
        <v>0</v>
      </c>
      <c r="AA45" s="708">
        <f>IF(AA4&lt;='Project Assumptions'!$G$39,AA43,AA21)</f>
        <v>0</v>
      </c>
      <c r="AB45" s="708">
        <f>IF(AB4&lt;='Project Assumptions'!$G$39,AB43,AB21)</f>
        <v>0</v>
      </c>
      <c r="AC45" s="712">
        <f>IF(AC4&lt;='Project Assumptions'!$G$39,AC43,AC21)</f>
        <v>0</v>
      </c>
    </row>
    <row r="46" spans="1:29" s="705" customFormat="1" ht="12.6" customHeight="1">
      <c r="A46" s="701" t="s">
        <v>104</v>
      </c>
      <c r="B46" s="737"/>
      <c r="C46" s="737"/>
      <c r="D46" s="339"/>
      <c r="E46" s="697">
        <f>IF('Project Assumptions'!$H$39=0,0,E42-E44)</f>
        <v>129657.70274060525</v>
      </c>
      <c r="F46" s="697">
        <f>IF('Project Assumptions'!$H$39=0,0,F42-F44)</f>
        <v>129657.70274060525</v>
      </c>
      <c r="G46" s="697">
        <f>IF('Project Assumptions'!$H$39=0,0,G42-G44)</f>
        <v>129657.70274060525</v>
      </c>
      <c r="H46" s="697">
        <f>IF('Project Assumptions'!$H$39=0,0,H42-H44)</f>
        <v>129657.70274060525</v>
      </c>
      <c r="I46" s="697">
        <f>IF('Project Assumptions'!$H$39=0,0,I42-I44)</f>
        <v>129657.70274060525</v>
      </c>
      <c r="J46" s="697">
        <f>IF('Project Assumptions'!$H$39=0,0,J42-J44)</f>
        <v>129657.70274060525</v>
      </c>
      <c r="K46" s="697">
        <f>IF('Project Assumptions'!$H$39=0,0,K42-K44)</f>
        <v>129657.70274060525</v>
      </c>
      <c r="L46" s="697">
        <f>IF('Project Assumptions'!$H$39=0,0,L42-L44)</f>
        <v>129657.70274060525</v>
      </c>
      <c r="M46" s="697">
        <f>IF('Project Assumptions'!$H$39=0,0,M42-M44)</f>
        <v>129657.70274060525</v>
      </c>
      <c r="N46" s="697">
        <f>IF('Project Assumptions'!$H$39=0,0,N42-N44)</f>
        <v>129657.70274060525</v>
      </c>
      <c r="O46" s="697">
        <f>IF('Project Assumptions'!$H$39=0,0,O42-O44)</f>
        <v>121447.84309939606</v>
      </c>
      <c r="P46" s="697">
        <f>IF('Project Assumptions'!$H$39=0,0,P42-P44)</f>
        <v>112373.74093933692</v>
      </c>
      <c r="Q46" s="697">
        <f>IF('Project Assumptions'!$H$39=0,0,Q42-Q44)</f>
        <v>102370.19100511313</v>
      </c>
      <c r="R46" s="697">
        <f>IF('Project Assumptions'!$H$39=0,0,R42-R44)</f>
        <v>91350.363333880348</v>
      </c>
      <c r="S46" s="697">
        <f>IF('Project Assumptions'!$H$39=0,0,S42-S44)</f>
        <v>79254.440720132261</v>
      </c>
      <c r="T46" s="697">
        <f>IF('Project Assumptions'!$H$39=0,0,T42-T44)</f>
        <v>66001.47350824115</v>
      </c>
      <c r="U46" s="697">
        <f>IF('Project Assumptions'!$H$39=0,0,U42-U44)</f>
        <v>51504.472061124296</v>
      </c>
      <c r="V46" s="697">
        <f>IF('Project Assumptions'!$H$39=0,0,V42-V44)</f>
        <v>35653.147511355026</v>
      </c>
      <c r="W46" s="697">
        <f>IF('Project Assumptions'!$H$39=0,0,W42-W44)</f>
        <v>18362.416746295683</v>
      </c>
      <c r="X46" s="697">
        <f>IF('Project Assumptions'!$H$39=0,0,X42-X44)</f>
        <v>-1.5279510989785194E-10</v>
      </c>
      <c r="Y46" s="697">
        <f>IF('Project Assumptions'!$H$39=0,0,Y42-Y44)</f>
        <v>0</v>
      </c>
      <c r="Z46" s="697">
        <f>IF('Project Assumptions'!$H$39=0,0,Z42-Z44)</f>
        <v>0</v>
      </c>
      <c r="AA46" s="697">
        <f>IF('Project Assumptions'!$H$39=0,0,AA42-AA44)</f>
        <v>0</v>
      </c>
      <c r="AB46" s="697">
        <f>IF('Project Assumptions'!$H$39=0,0,AB42-AB44)</f>
        <v>0</v>
      </c>
      <c r="AC46" s="698">
        <f>IF('Project Assumptions'!$H$39=0,0,AC42-AC44)</f>
        <v>0</v>
      </c>
    </row>
    <row r="47" spans="1:29" s="705" customFormat="1" ht="12.6" customHeight="1">
      <c r="A47" s="738" t="s">
        <v>211</v>
      </c>
      <c r="B47" s="739"/>
      <c r="C47" s="739"/>
      <c r="D47" s="719"/>
      <c r="E47" s="740">
        <f>IF('Project Assumptions'!H39&gt;0,SUMPRODUCT(E4:AC4,E44:AC44)/B21,0)</f>
        <v>16.231606565495994</v>
      </c>
      <c r="F47" s="720"/>
      <c r="G47" s="720"/>
      <c r="H47" s="720"/>
      <c r="I47" s="720"/>
      <c r="J47" s="720"/>
      <c r="K47" s="720"/>
      <c r="L47" s="720"/>
      <c r="M47" s="720"/>
      <c r="N47" s="720"/>
      <c r="O47" s="720"/>
      <c r="P47" s="720"/>
      <c r="Q47" s="720"/>
      <c r="R47" s="720"/>
      <c r="S47" s="720"/>
      <c r="T47" s="720"/>
      <c r="U47" s="720"/>
      <c r="V47" s="720"/>
      <c r="W47" s="720"/>
      <c r="X47" s="720"/>
      <c r="Y47" s="720"/>
      <c r="Z47" s="720"/>
      <c r="AA47" s="720"/>
      <c r="AB47" s="720"/>
      <c r="AC47" s="721"/>
    </row>
    <row r="48" spans="1:29" s="705" customFormat="1" ht="12.6" customHeight="1">
      <c r="A48" s="753"/>
      <c r="B48" s="754"/>
      <c r="C48" s="754"/>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row>
    <row r="49" spans="1:29" s="705" customFormat="1" ht="13.5" thickBot="1">
      <c r="E49" s="711"/>
      <c r="F49" s="711"/>
      <c r="G49" s="711"/>
      <c r="H49" s="711"/>
      <c r="I49" s="711"/>
      <c r="J49" s="711"/>
      <c r="K49" s="711"/>
      <c r="L49" s="711"/>
      <c r="M49" s="711"/>
      <c r="N49" s="711"/>
      <c r="O49" s="711"/>
      <c r="P49" s="711"/>
      <c r="Q49" s="711"/>
      <c r="R49" s="711"/>
      <c r="S49" s="711"/>
      <c r="T49" s="711"/>
      <c r="U49" s="711"/>
      <c r="V49" s="711"/>
      <c r="W49" s="711"/>
      <c r="X49" s="711"/>
      <c r="Y49" s="711"/>
      <c r="Z49" s="711"/>
      <c r="AA49" s="711"/>
      <c r="AB49" s="711"/>
      <c r="AC49" s="711"/>
    </row>
    <row r="50" spans="1:29" s="705" customFormat="1">
      <c r="A50" s="756" t="s">
        <v>208</v>
      </c>
      <c r="B50" s="757"/>
      <c r="C50" s="757"/>
      <c r="D50" s="757"/>
      <c r="E50" s="758"/>
      <c r="F50" s="758"/>
      <c r="G50" s="758"/>
      <c r="H50" s="758"/>
      <c r="I50" s="758"/>
      <c r="J50" s="758"/>
      <c r="K50" s="758"/>
      <c r="L50" s="758"/>
      <c r="M50" s="758"/>
      <c r="N50" s="758"/>
      <c r="O50" s="758"/>
      <c r="P50" s="758"/>
      <c r="Q50" s="758"/>
      <c r="R50" s="758"/>
      <c r="S50" s="758"/>
      <c r="T50" s="758"/>
      <c r="U50" s="758"/>
      <c r="V50" s="758"/>
      <c r="W50" s="758"/>
      <c r="X50" s="758"/>
      <c r="Y50" s="758"/>
      <c r="Z50" s="758"/>
      <c r="AA50" s="758"/>
      <c r="AB50" s="758"/>
      <c r="AC50" s="759"/>
    </row>
    <row r="51" spans="1:29" s="705" customFormat="1">
      <c r="A51" s="760" t="s">
        <v>100</v>
      </c>
      <c r="B51" s="339"/>
      <c r="C51" s="339"/>
      <c r="D51" s="339"/>
      <c r="E51" s="697">
        <f>IF('Project Assumptions'!$I$34="Normal",E26+E34+E42,E68+E82+E96)</f>
        <v>182797</v>
      </c>
      <c r="F51" s="697">
        <f>IF('Project Assumptions'!$I$34="Normal",F26+F34+F42,F68+F82+F96)</f>
        <v>175403.75</v>
      </c>
      <c r="G51" s="697">
        <f>IF('Project Assumptions'!$I$34="Normal",G26+G34+G42,G68+G82+G96)</f>
        <v>168010.5</v>
      </c>
      <c r="H51" s="697">
        <f>IF('Project Assumptions'!$I$34="Normal",H26+H34+H42,H68+H82+H96)</f>
        <v>157896.75</v>
      </c>
      <c r="I51" s="697">
        <f>IF('Project Assumptions'!$I$34="Normal",I26+I34+I42,I68+I82+I96)</f>
        <v>145062.5</v>
      </c>
      <c r="J51" s="697">
        <f>IF('Project Assumptions'!$I$34="Normal",J26+J34+J42,J68+J82+J96)</f>
        <v>137645.22</v>
      </c>
      <c r="K51" s="697">
        <f>IF('Project Assumptions'!$I$34="Normal",K26+K34+K42,K68+K82+K96)</f>
        <v>130227.94</v>
      </c>
      <c r="L51" s="697">
        <f>IF('Project Assumptions'!$I$34="Normal",L26+L34+L42,L68+L82+L96)</f>
        <v>121822.52</v>
      </c>
      <c r="M51" s="697">
        <f>IF('Project Assumptions'!$I$34="Normal",M26+M34+M42,M68+M82+M96)</f>
        <v>113417.1</v>
      </c>
      <c r="N51" s="697">
        <f>IF('Project Assumptions'!$I$34="Normal",N26+N34+N42,N68+N82+N96)</f>
        <v>99570.680000000008</v>
      </c>
      <c r="O51" s="697">
        <f>IF('Project Assumptions'!$I$34="Normal",O26+O34+O42,O68+O82+O96)</f>
        <v>82015.62000000001</v>
      </c>
      <c r="P51" s="697">
        <f>IF('Project Assumptions'!$I$34="Normal",P26+P34+P42,P68+P82+P96)</f>
        <v>78063.060000000012</v>
      </c>
      <c r="Q51" s="697">
        <f>IF('Project Assumptions'!$I$34="Normal",Q26+Q34+Q42,Q68+Q82+Q96)</f>
        <v>73122.360000000015</v>
      </c>
      <c r="R51" s="697">
        <f>IF('Project Assumptions'!$I$34="Normal",R26+R34+R42,R68+R82+R96)</f>
        <v>68181.660000000018</v>
      </c>
      <c r="S51" s="697">
        <f>IF('Project Assumptions'!$I$34="Normal",S26+S34+S42,S68+S82+S96)</f>
        <v>63240.960000000021</v>
      </c>
      <c r="T51" s="697">
        <f>IF('Project Assumptions'!$I$34="Normal",T26+T34+T42,T68+T82+T96)</f>
        <v>58300.260000000024</v>
      </c>
      <c r="U51" s="697">
        <f>IF('Project Assumptions'!$I$34="Normal",U26+U34+U42,U68+U82+U96)</f>
        <v>53359.560000000027</v>
      </c>
      <c r="V51" s="697">
        <f>IF('Project Assumptions'!$I$34="Normal",V26+V34+V42,V68+V82+V96)</f>
        <v>43478.160000000025</v>
      </c>
      <c r="W51" s="697">
        <f>IF('Project Assumptions'!$I$34="Normal",W26+W34+W42,W68+W82+W96)</f>
        <v>31620.480000000025</v>
      </c>
      <c r="X51" s="697">
        <f>IF('Project Assumptions'!$I$34="Normal",X26+X34+X42,X68+X82+X96)</f>
        <v>16798.380000000026</v>
      </c>
      <c r="Y51" s="697">
        <f>IF('Project Assumptions'!$I$34="Normal",Y26+Y34+Y42,Y68+Y82+Y96)</f>
        <v>0</v>
      </c>
      <c r="Z51" s="697">
        <f>IF('Project Assumptions'!$I$34="Normal",Z26+Z34+Z42,Z68+Z82+Z96)</f>
        <v>0</v>
      </c>
      <c r="AA51" s="697">
        <f>IF('Project Assumptions'!$I$34="Normal",AA26+AA34+AA42,AA68+AA82+AA96)</f>
        <v>0</v>
      </c>
      <c r="AB51" s="697">
        <f>IF('Project Assumptions'!$I$34="Normal",AB26+AB34+AB42,AB68+AB82+AB96)</f>
        <v>0</v>
      </c>
      <c r="AC51" s="761">
        <f>IF('Project Assumptions'!$I$34="Normal",AC26+AC34+AC42,AC68+AC82+AC96)</f>
        <v>0</v>
      </c>
    </row>
    <row r="52" spans="1:29" s="705" customFormat="1">
      <c r="A52" s="760" t="s">
        <v>101</v>
      </c>
      <c r="B52" s="339"/>
      <c r="C52" s="339"/>
      <c r="D52" s="339"/>
      <c r="E52" s="708">
        <f>IF('Project Assumptions'!$I$34="Normal",E27+E35+E43,E69+E83+E97)</f>
        <v>14192.0851</v>
      </c>
      <c r="F52" s="708">
        <f>IF('Project Assumptions'!$I$34="Normal",F27+F35+F43,F69+F83+F97)</f>
        <v>13694.519375</v>
      </c>
      <c r="G52" s="708">
        <f>IF('Project Assumptions'!$I$34="Normal",G27+G35+G43,G69+G83+G97)</f>
        <v>13196.953649999999</v>
      </c>
      <c r="H52" s="708">
        <f>IF('Project Assumptions'!$I$34="Normal",H27+H35+H43,H69+H83+H97)</f>
        <v>12493.446075</v>
      </c>
      <c r="I52" s="708">
        <f>IF('Project Assumptions'!$I$34="Normal",I27+I35+I43,I69+I83+I97)</f>
        <v>11583.996650000001</v>
      </c>
      <c r="J52" s="708">
        <f>IF('Project Assumptions'!$I$34="Normal",J27+J35+J43,J69+J83+J97)</f>
        <v>11010.453245999999</v>
      </c>
      <c r="K52" s="708">
        <f>IF('Project Assumptions'!$I$34="Normal",K27+K35+K43,K69+K83+K97)</f>
        <v>10436.909842000001</v>
      </c>
      <c r="L52" s="708">
        <f>IF('Project Assumptions'!$I$34="Normal",L27+L35+L43,L69+L83+L97)</f>
        <v>9782.5365860000002</v>
      </c>
      <c r="M52" s="708">
        <f>IF('Project Assumptions'!$I$34="Normal",M27+M35+M43,M69+M83+M97)</f>
        <v>9128.1633300000012</v>
      </c>
      <c r="N52" s="708">
        <f>IF('Project Assumptions'!$I$34="Normal",N27+N35+N43,N69+N83+N97)</f>
        <v>8061.9063740000001</v>
      </c>
      <c r="O52" s="708">
        <f>IF('Project Assumptions'!$I$34="Normal",O27+O35+O43,O69+O83+O97)</f>
        <v>6708.8777160000009</v>
      </c>
      <c r="P52" s="708">
        <f>IF('Project Assumptions'!$I$34="Normal",P27+P35+P43,P69+P83+P97)</f>
        <v>6385.5583080000006</v>
      </c>
      <c r="Q52" s="708">
        <f>IF('Project Assumptions'!$I$34="Normal",Q27+Q35+Q43,Q69+Q83+Q97)</f>
        <v>5981.4090480000013</v>
      </c>
      <c r="R52" s="708">
        <f>IF('Project Assumptions'!$I$34="Normal",R27+R35+R43,R69+R83+R97)</f>
        <v>5577.2597880000012</v>
      </c>
      <c r="S52" s="708">
        <f>IF('Project Assumptions'!$I$34="Normal",S27+S35+S43,S69+S83+S97)</f>
        <v>5173.110528000002</v>
      </c>
      <c r="T52" s="708">
        <f>IF('Project Assumptions'!$I$34="Normal",T27+T35+T43,T69+T83+T97)</f>
        <v>4768.9612680000018</v>
      </c>
      <c r="U52" s="708">
        <f>IF('Project Assumptions'!$I$34="Normal",U27+U35+U43,U69+U83+U97)</f>
        <v>4364.8120080000017</v>
      </c>
      <c r="V52" s="708">
        <f>IF('Project Assumptions'!$I$34="Normal",V27+V35+V43,V69+V83+V97)</f>
        <v>3556.5134880000019</v>
      </c>
      <c r="W52" s="708">
        <f>IF('Project Assumptions'!$I$34="Normal",W27+W35+W43,W69+W83+W97)</f>
        <v>2586.5552640000019</v>
      </c>
      <c r="X52" s="708">
        <f>IF('Project Assumptions'!$I$34="Normal",X27+X35+X43,X69+X83+X97)</f>
        <v>1374.1074840000022</v>
      </c>
      <c r="Y52" s="708">
        <f>IF('Project Assumptions'!$I$34="Normal",Y27+Y35+Y43,Y69+Y83+Y97)</f>
        <v>0</v>
      </c>
      <c r="Z52" s="708">
        <f>IF('Project Assumptions'!$I$34="Normal",Z27+Z35+Z43,Z69+Z83+Z97)</f>
        <v>0</v>
      </c>
      <c r="AA52" s="708">
        <f>IF('Project Assumptions'!$I$34="Normal",AA27+AA35+AA43,AA69+AA83+AA97)</f>
        <v>0</v>
      </c>
      <c r="AB52" s="708">
        <f>IF('Project Assumptions'!$I$34="Normal",AB27+AB35+AB43,AB69+AB83+AB97)</f>
        <v>0</v>
      </c>
      <c r="AC52" s="762">
        <f>IF('Project Assumptions'!$I$34="Normal",AC27+AC35+AC43,AC69+AC83+AC97)</f>
        <v>0</v>
      </c>
    </row>
    <row r="53" spans="1:29" s="705" customFormat="1">
      <c r="A53" s="760" t="s">
        <v>102</v>
      </c>
      <c r="B53" s="339"/>
      <c r="C53" s="339"/>
      <c r="D53" s="339"/>
      <c r="E53" s="708">
        <f>IF('Project Assumptions'!$I$34="Normal",E28+E36+E44,E70+E84+E98)</f>
        <v>7393.25</v>
      </c>
      <c r="F53" s="708">
        <f>IF('Project Assumptions'!$I$34="Normal",F28+F36+F44,F70+F84+F98)</f>
        <v>7393.25</v>
      </c>
      <c r="G53" s="708">
        <f>IF('Project Assumptions'!$I$34="Normal",G28+G36+G44,G70+G84+G98)</f>
        <v>10113.75</v>
      </c>
      <c r="H53" s="708">
        <f>IF('Project Assumptions'!$I$34="Normal",H28+H36+H44,H70+H84+H98)</f>
        <v>12834.25</v>
      </c>
      <c r="I53" s="708">
        <f>IF('Project Assumptions'!$I$34="Normal",I28+I36+I44,I70+I84+I98)</f>
        <v>7417.28</v>
      </c>
      <c r="J53" s="708">
        <f>IF('Project Assumptions'!$I$34="Normal",J28+J36+J44,J70+J84+J98)</f>
        <v>7417.28</v>
      </c>
      <c r="K53" s="708">
        <f>IF('Project Assumptions'!$I$34="Normal",K28+K36+K44,K70+K84+K98)</f>
        <v>8405.42</v>
      </c>
      <c r="L53" s="708">
        <f>IF('Project Assumptions'!$I$34="Normal",L28+L36+L44,L70+L84+L98)</f>
        <v>8405.42</v>
      </c>
      <c r="M53" s="708">
        <f>IF('Project Assumptions'!$I$34="Normal",M28+M36+M44,M70+M84+M98)</f>
        <v>13846.42</v>
      </c>
      <c r="N53" s="708">
        <f>IF('Project Assumptions'!$I$34="Normal",N28+N36+N44,N70+N84+N98)</f>
        <v>17555.060000000001</v>
      </c>
      <c r="O53" s="708">
        <f>IF('Project Assumptions'!$I$34="Normal",O28+O36+O44,O70+O84+O98)</f>
        <v>3952.56</v>
      </c>
      <c r="P53" s="708">
        <f>IF('Project Assumptions'!$I$34="Normal",P28+P36+P44,P70+P84+P98)</f>
        <v>4940.7000000000007</v>
      </c>
      <c r="Q53" s="708">
        <f>IF('Project Assumptions'!$I$34="Normal",Q28+Q36+Q44,Q70+Q84+Q98)</f>
        <v>4940.7000000000007</v>
      </c>
      <c r="R53" s="708">
        <f>IF('Project Assumptions'!$I$34="Normal",R28+R36+R44,R70+R84+R98)</f>
        <v>4940.7000000000007</v>
      </c>
      <c r="S53" s="708">
        <f>IF('Project Assumptions'!$I$34="Normal",S28+S36+S44,S70+S84+S98)</f>
        <v>4940.7000000000007</v>
      </c>
      <c r="T53" s="708">
        <f>IF('Project Assumptions'!$I$34="Normal",T28+T36+T44,T70+T84+T98)</f>
        <v>4940.7000000000007</v>
      </c>
      <c r="U53" s="708">
        <f>IF('Project Assumptions'!$I$34="Normal",U28+U36+U44,U70+U84+U98)</f>
        <v>9881.4000000000015</v>
      </c>
      <c r="V53" s="708">
        <f>IF('Project Assumptions'!$I$34="Normal",V28+V36+V44,V70+V84+V98)</f>
        <v>11857.68</v>
      </c>
      <c r="W53" s="708">
        <f>IF('Project Assumptions'!$I$34="Normal",W28+W36+W44,W70+W84+W98)</f>
        <v>14822.099999999999</v>
      </c>
      <c r="X53" s="708">
        <f>IF('Project Assumptions'!$I$34="Normal",X28+X36+X44,X70+X84+X98)</f>
        <v>16798.38</v>
      </c>
      <c r="Y53" s="708">
        <f>IF('Project Assumptions'!$I$34="Normal",Y28+Y36+Y44,Y70+Y84+Y98)</f>
        <v>0</v>
      </c>
      <c r="Z53" s="708">
        <f>IF('Project Assumptions'!$I$34="Normal",Z28+Z36+Z44,Z70+Z84+Z98)</f>
        <v>0</v>
      </c>
      <c r="AA53" s="708">
        <f>IF('Project Assumptions'!$I$34="Normal",AA28+AA36+AA44,AA70+AA84+AA98)</f>
        <v>0</v>
      </c>
      <c r="AB53" s="708">
        <f>IF('Project Assumptions'!$I$34="Normal",AB28+AB36+AB44,AB70+AB84+AB98)</f>
        <v>0</v>
      </c>
      <c r="AC53" s="762">
        <f>IF('Project Assumptions'!$I$34="Normal",AC28+AC36+AC44,AC70+AC84+AC98)</f>
        <v>0</v>
      </c>
    </row>
    <row r="54" spans="1:29" s="705" customFormat="1">
      <c r="A54" s="760" t="s">
        <v>103</v>
      </c>
      <c r="B54" s="339"/>
      <c r="C54" s="339"/>
      <c r="D54" s="339"/>
      <c r="E54" s="708">
        <f>IF('Project Assumptions'!$I$34="Normal",E29+E37+E45,E71+E85+E99)</f>
        <v>21585.3351</v>
      </c>
      <c r="F54" s="708">
        <f>IF('Project Assumptions'!$I$34="Normal",F29+F37+F45,F71+F85+F99)</f>
        <v>21087.769375</v>
      </c>
      <c r="G54" s="708">
        <f>IF('Project Assumptions'!$I$34="Normal",G29+G37+G45,G71+G85+G99)</f>
        <v>23310.703649999999</v>
      </c>
      <c r="H54" s="708">
        <f>IF('Project Assumptions'!$I$34="Normal",H29+H37+H45,H71+H85+H99)</f>
        <v>25327.696075</v>
      </c>
      <c r="I54" s="708">
        <f>IF('Project Assumptions'!$I$34="Normal",I29+I37+I45,I71+I85+I99)</f>
        <v>19001.27665</v>
      </c>
      <c r="J54" s="708">
        <f>IF('Project Assumptions'!$I$34="Normal",J29+J37+J45,J71+J85+J99)</f>
        <v>18427.733246</v>
      </c>
      <c r="K54" s="708">
        <f>IF('Project Assumptions'!$I$34="Normal",K29+K37+K45,K71+K85+K99)</f>
        <v>18842.329841999999</v>
      </c>
      <c r="L54" s="708">
        <f>IF('Project Assumptions'!$I$34="Normal",L29+L37+L45,L71+L85+L99)</f>
        <v>18187.956586</v>
      </c>
      <c r="M54" s="708">
        <f>IF('Project Assumptions'!$I$34="Normal",M29+M37+M45,M71+M85+M99)</f>
        <v>22974.583330000001</v>
      </c>
      <c r="N54" s="708">
        <f>IF('Project Assumptions'!$I$34="Normal",N29+N37+N45,N71+N85+N99)</f>
        <v>25616.966374</v>
      </c>
      <c r="O54" s="708">
        <f>IF('Project Assumptions'!$I$34="Normal",O29+O37+O45,O71+O85+O99)</f>
        <v>10661.437716</v>
      </c>
      <c r="P54" s="708">
        <f>IF('Project Assumptions'!$I$34="Normal",P29+P37+P45,P71+P85+P99)</f>
        <v>11326.258308</v>
      </c>
      <c r="Q54" s="708">
        <f>IF('Project Assumptions'!$I$34="Normal",Q29+Q37+Q45,Q71+Q85+Q99)</f>
        <v>10922.109048000002</v>
      </c>
      <c r="R54" s="708">
        <f>IF('Project Assumptions'!$I$34="Normal",R29+R37+R45,R71+R85+R99)</f>
        <v>10517.959788000002</v>
      </c>
      <c r="S54" s="708">
        <f>IF('Project Assumptions'!$I$34="Normal",S29+S37+S45,S71+S85+S99)</f>
        <v>10113.810528000002</v>
      </c>
      <c r="T54" s="708">
        <f>IF('Project Assumptions'!$I$34="Normal",T29+T37+T45,T71+T85+T99)</f>
        <v>9709.6612680000035</v>
      </c>
      <c r="U54" s="708">
        <f>IF('Project Assumptions'!$I$34="Normal",U29+U37+U45,U71+U85+U99)</f>
        <v>14246.212008000002</v>
      </c>
      <c r="V54" s="708">
        <f>IF('Project Assumptions'!$I$34="Normal",V29+V37+V45,V71+V85+V99)</f>
        <v>15414.193488000003</v>
      </c>
      <c r="W54" s="708">
        <f>IF('Project Assumptions'!$I$34="Normal",W29+W37+W45,W71+W85+W99)</f>
        <v>17408.655264000001</v>
      </c>
      <c r="X54" s="708">
        <f>IF('Project Assumptions'!$I$34="Normal",X29+X37+X45,X71+X85+X99)</f>
        <v>18172.487484000005</v>
      </c>
      <c r="Y54" s="708">
        <f>IF('Project Assumptions'!$I$34="Normal",Y29+Y37+Y45,Y71+Y85+Y99)</f>
        <v>0</v>
      </c>
      <c r="Z54" s="708">
        <f>IF('Project Assumptions'!$I$34="Normal",Z29+Z37+Z45,Z71+Z85+Z99)</f>
        <v>0</v>
      </c>
      <c r="AA54" s="708">
        <f>IF('Project Assumptions'!$I$34="Normal",AA29+AA37+AA45,AA71+AA85+AA99)</f>
        <v>0</v>
      </c>
      <c r="AB54" s="708">
        <f>IF('Project Assumptions'!$I$34="Normal",AB29+AB37+AB45,AB71+AB85+AB99)</f>
        <v>0</v>
      </c>
      <c r="AC54" s="762">
        <f>IF('Project Assumptions'!$I$34="Normal",AC29+AC37+AC45,AC71+AC85+AC99)</f>
        <v>0</v>
      </c>
    </row>
    <row r="55" spans="1:29" s="705" customFormat="1" ht="12.6" customHeight="1">
      <c r="A55" s="760" t="s">
        <v>104</v>
      </c>
      <c r="B55" s="763"/>
      <c r="C55" s="763"/>
      <c r="D55" s="339"/>
      <c r="E55" s="697">
        <f>IF('Project Assumptions'!$I$34="Normal",E30+E38+E46,E72+E86+E100)</f>
        <v>175403.75</v>
      </c>
      <c r="F55" s="697">
        <f>IF('Project Assumptions'!$I$34="Normal",F30+F38+F46,F72+F86+F100)</f>
        <v>168010.5</v>
      </c>
      <c r="G55" s="697">
        <f>IF('Project Assumptions'!$I$34="Normal",G30+G38+G46,G72+G86+G100)</f>
        <v>157896.75</v>
      </c>
      <c r="H55" s="697">
        <f>IF('Project Assumptions'!$I$34="Normal",H30+H38+H46,H72+H86+H100)</f>
        <v>145062.5</v>
      </c>
      <c r="I55" s="697">
        <f>IF('Project Assumptions'!$I$34="Normal",I30+I38+I46,I72+I86+I100)</f>
        <v>137645.22</v>
      </c>
      <c r="J55" s="697">
        <f>IF('Project Assumptions'!$I$34="Normal",J30+J38+J46,J72+J86+J100)</f>
        <v>130227.94</v>
      </c>
      <c r="K55" s="697">
        <f>IF('Project Assumptions'!$I$34="Normal",K30+K38+K46,K72+K86+K100)</f>
        <v>121822.52</v>
      </c>
      <c r="L55" s="697">
        <f>IF('Project Assumptions'!$I$34="Normal",L30+L38+L46,L72+L86+L100)</f>
        <v>113417.1</v>
      </c>
      <c r="M55" s="697">
        <f>IF('Project Assumptions'!$I$34="Normal",M30+M38+M46,M72+M86+M100)</f>
        <v>99570.680000000008</v>
      </c>
      <c r="N55" s="697">
        <f>IF('Project Assumptions'!$I$34="Normal",N30+N38+N46,N72+N86+N100)</f>
        <v>82015.62000000001</v>
      </c>
      <c r="O55" s="697">
        <f>IF('Project Assumptions'!$I$34="Normal",O30+O38+O46,O72+O86+O100)</f>
        <v>78063.060000000012</v>
      </c>
      <c r="P55" s="697">
        <f>IF('Project Assumptions'!$I$34="Normal",P30+P38+P46,P72+P86+P100)</f>
        <v>73122.360000000015</v>
      </c>
      <c r="Q55" s="697">
        <f>IF('Project Assumptions'!$I$34="Normal",Q30+Q38+Q46,Q72+Q86+Q100)</f>
        <v>68181.660000000018</v>
      </c>
      <c r="R55" s="697">
        <f>IF('Project Assumptions'!$I$34="Normal",R30+R38+R46,R72+R86+R100)</f>
        <v>63240.960000000021</v>
      </c>
      <c r="S55" s="697">
        <f>IF('Project Assumptions'!$I$34="Normal",S30+S38+S46,S72+S86+S100)</f>
        <v>58300.260000000024</v>
      </c>
      <c r="T55" s="697">
        <f>IF('Project Assumptions'!$I$34="Normal",T30+T38+T46,T72+T86+T100)</f>
        <v>53359.560000000027</v>
      </c>
      <c r="U55" s="697">
        <f>IF('Project Assumptions'!$I$34="Normal",U30+U38+U46,U72+U86+U100)</f>
        <v>43478.160000000025</v>
      </c>
      <c r="V55" s="697">
        <f>IF('Project Assumptions'!$I$34="Normal",V30+V38+V46,V72+V86+V100)</f>
        <v>31620.480000000025</v>
      </c>
      <c r="W55" s="697">
        <f>IF('Project Assumptions'!$I$34="Normal",W30+W38+W46,W72+W86+W100)</f>
        <v>16798.380000000026</v>
      </c>
      <c r="X55" s="697">
        <f>IF('Project Assumptions'!$I$34="Normal",X30+X38+X46,X72+X86+X100)</f>
        <v>0</v>
      </c>
      <c r="Y55" s="697">
        <f>IF('Project Assumptions'!$I$34="Normal",Y30+Y38+Y46,Y72+Y86+Y100)</f>
        <v>0</v>
      </c>
      <c r="Z55" s="697">
        <f>IF('Project Assumptions'!$I$34="Normal",Z30+Z38+Z46,Z72+Z86+Z100)</f>
        <v>0</v>
      </c>
      <c r="AA55" s="697">
        <f>IF('Project Assumptions'!$I$34="Normal",AA30+AA38+AA46,AA72+AA86+AA100)</f>
        <v>0</v>
      </c>
      <c r="AB55" s="697">
        <f>IF('Project Assumptions'!$I$34="Normal",AB30+AB38+AB46,AB72+AB86+AB100)</f>
        <v>0</v>
      </c>
      <c r="AC55" s="761">
        <f>IF('Project Assumptions'!$I$34="Normal",AC30+AC38+AC46,AC72+AC86+AC100)</f>
        <v>0</v>
      </c>
    </row>
    <row r="56" spans="1:29" s="705" customFormat="1" ht="12.6" customHeight="1">
      <c r="A56" s="760" t="s">
        <v>211</v>
      </c>
      <c r="B56" s="763"/>
      <c r="C56" s="763"/>
      <c r="D56" s="339"/>
      <c r="E56" s="1025">
        <f>IF('Project Assumptions'!$I$34="Normal",SUMPRODUCT(E4:AC4,E53:AC53)/B22,SUMPRODUCT(E4:AC4,E53:AC53)/(C68+C82+C96))</f>
        <v>10.9412871108388</v>
      </c>
      <c r="F56" s="708"/>
      <c r="G56" s="708"/>
      <c r="H56" s="708"/>
      <c r="I56" s="708"/>
      <c r="J56" s="708"/>
      <c r="K56" s="708"/>
      <c r="L56" s="708"/>
      <c r="M56" s="708"/>
      <c r="N56" s="708"/>
      <c r="O56" s="708"/>
      <c r="P56" s="708"/>
      <c r="Q56" s="708"/>
      <c r="R56" s="708"/>
      <c r="S56" s="708"/>
      <c r="T56" s="708"/>
      <c r="U56" s="708"/>
      <c r="V56" s="708"/>
      <c r="W56" s="708"/>
      <c r="X56" s="708"/>
      <c r="Y56" s="708"/>
      <c r="Z56" s="708"/>
      <c r="AA56" s="708"/>
      <c r="AB56" s="708"/>
      <c r="AC56" s="762"/>
    </row>
    <row r="57" spans="1:29" ht="12.6" customHeight="1">
      <c r="A57" s="764"/>
      <c r="B57" s="765"/>
      <c r="C57" s="765"/>
      <c r="D57" s="58"/>
      <c r="E57" s="766"/>
      <c r="F57" s="766"/>
      <c r="G57" s="766"/>
      <c r="H57" s="766"/>
      <c r="I57" s="766"/>
      <c r="J57" s="766"/>
      <c r="K57" s="766"/>
      <c r="L57" s="766"/>
      <c r="M57" s="766"/>
      <c r="N57" s="766"/>
      <c r="O57" s="766"/>
      <c r="P57" s="766"/>
      <c r="Q57" s="766"/>
      <c r="R57" s="766"/>
      <c r="S57" s="766"/>
      <c r="T57" s="766"/>
      <c r="U57" s="766"/>
      <c r="V57" s="766"/>
      <c r="W57" s="766"/>
      <c r="X57" s="766"/>
      <c r="Y57" s="766"/>
      <c r="Z57" s="766"/>
      <c r="AA57" s="766"/>
      <c r="AB57" s="766"/>
      <c r="AC57" s="767"/>
    </row>
    <row r="58" spans="1:29" ht="12.6" customHeight="1" thickBot="1">
      <c r="A58" s="768" t="s">
        <v>210</v>
      </c>
      <c r="B58" s="769"/>
      <c r="C58" s="769"/>
      <c r="D58" s="770"/>
      <c r="E58" s="771">
        <f t="shared" ref="E58:AC58" si="3">E45+E37+E29</f>
        <v>10102.694273508629</v>
      </c>
      <c r="F58" s="771">
        <f t="shared" si="3"/>
        <v>17545.249835477491</v>
      </c>
      <c r="G58" s="771">
        <f t="shared" si="3"/>
        <v>17496.36821822212</v>
      </c>
      <c r="H58" s="771">
        <f t="shared" si="3"/>
        <v>24102.821747778715</v>
      </c>
      <c r="I58" s="771">
        <f t="shared" si="3"/>
        <v>17536.158407446019</v>
      </c>
      <c r="J58" s="771">
        <f t="shared" si="3"/>
        <v>18083.91346167033</v>
      </c>
      <c r="K58" s="771">
        <f t="shared" si="3"/>
        <v>17982.693302172727</v>
      </c>
      <c r="L58" s="771">
        <f t="shared" si="3"/>
        <v>18192.770053250766</v>
      </c>
      <c r="M58" s="771">
        <f t="shared" si="3"/>
        <v>18399.135802093479</v>
      </c>
      <c r="N58" s="771">
        <f t="shared" si="3"/>
        <v>18618.172532499513</v>
      </c>
      <c r="O58" s="771">
        <f t="shared" si="3"/>
        <v>18815.859725390699</v>
      </c>
      <c r="P58" s="771">
        <f t="shared" si="3"/>
        <v>19008.535725589754</v>
      </c>
      <c r="Q58" s="771">
        <f t="shared" si="3"/>
        <v>19195.721943061548</v>
      </c>
      <c r="R58" s="771">
        <f t="shared" si="3"/>
        <v>19393.70929545103</v>
      </c>
      <c r="S58" s="771">
        <f t="shared" si="3"/>
        <v>19568.382334459493</v>
      </c>
      <c r="T58" s="771">
        <f t="shared" si="3"/>
        <v>19735.980462797925</v>
      </c>
      <c r="U58" s="771">
        <f t="shared" si="3"/>
        <v>19895.921980090985</v>
      </c>
      <c r="V58" s="771">
        <f t="shared" si="3"/>
        <v>20064.390364369239</v>
      </c>
      <c r="W58" s="771">
        <f t="shared" si="3"/>
        <v>20207.158231488185</v>
      </c>
      <c r="X58" s="771">
        <f t="shared" si="3"/>
        <v>19864.462436142821</v>
      </c>
      <c r="Y58" s="771">
        <f t="shared" si="3"/>
        <v>0</v>
      </c>
      <c r="Z58" s="771">
        <f t="shared" si="3"/>
        <v>0</v>
      </c>
      <c r="AA58" s="771">
        <f t="shared" si="3"/>
        <v>0</v>
      </c>
      <c r="AB58" s="771">
        <f t="shared" si="3"/>
        <v>0</v>
      </c>
      <c r="AC58" s="772">
        <f t="shared" si="3"/>
        <v>0</v>
      </c>
    </row>
    <row r="59" spans="1:29" ht="12.6" customHeight="1">
      <c r="B59" s="665"/>
      <c r="C59" s="665"/>
      <c r="E59" s="724"/>
      <c r="F59" s="724"/>
      <c r="G59" s="724"/>
      <c r="H59" s="724"/>
      <c r="I59" s="724"/>
      <c r="J59" s="724"/>
      <c r="K59" s="724"/>
      <c r="L59" s="724"/>
      <c r="M59" s="724"/>
      <c r="N59" s="724"/>
      <c r="O59" s="724"/>
      <c r="P59" s="724"/>
      <c r="Q59" s="724"/>
      <c r="R59" s="724"/>
      <c r="S59" s="724"/>
      <c r="T59" s="724"/>
      <c r="U59" s="724"/>
      <c r="V59" s="724"/>
      <c r="W59" s="724"/>
      <c r="X59" s="724"/>
      <c r="Y59" s="724"/>
      <c r="Z59" s="724"/>
      <c r="AA59" s="724"/>
      <c r="AB59" s="724"/>
      <c r="AC59" s="724"/>
    </row>
    <row r="60" spans="1:29" ht="15.75">
      <c r="A60" s="992" t="s">
        <v>613</v>
      </c>
      <c r="B60" s="665"/>
      <c r="C60" s="665"/>
      <c r="E60" s="724"/>
      <c r="F60" s="724"/>
      <c r="G60" s="724"/>
      <c r="H60" s="724"/>
      <c r="I60" s="724"/>
      <c r="J60" s="724"/>
      <c r="K60" s="724"/>
      <c r="L60" s="724"/>
      <c r="M60" s="724"/>
      <c r="N60" s="724"/>
      <c r="O60" s="724"/>
      <c r="P60" s="724"/>
      <c r="Q60" s="724"/>
      <c r="R60" s="724"/>
      <c r="S60" s="724"/>
      <c r="T60" s="724"/>
      <c r="U60" s="724"/>
      <c r="V60" s="724"/>
      <c r="W60" s="724"/>
      <c r="X60" s="724"/>
      <c r="Y60" s="724"/>
      <c r="Z60" s="724"/>
      <c r="AA60" s="724"/>
      <c r="AB60" s="724"/>
      <c r="AC60" s="724"/>
    </row>
    <row r="61" spans="1:29" ht="12.6" customHeight="1">
      <c r="B61" s="665"/>
      <c r="C61" s="665"/>
      <c r="E61" s="724"/>
      <c r="F61" s="724"/>
      <c r="G61" s="724"/>
      <c r="H61" s="724"/>
      <c r="I61" s="724"/>
      <c r="J61" s="724"/>
      <c r="K61" s="724"/>
      <c r="L61" s="724"/>
      <c r="M61" s="724"/>
      <c r="N61" s="724"/>
      <c r="O61" s="724"/>
      <c r="P61" s="724"/>
      <c r="Q61" s="724"/>
      <c r="R61" s="724"/>
      <c r="S61" s="724"/>
      <c r="T61" s="724"/>
      <c r="U61" s="724"/>
      <c r="V61" s="724"/>
      <c r="W61" s="724"/>
      <c r="X61" s="724"/>
      <c r="Y61" s="724"/>
      <c r="Z61" s="724"/>
      <c r="AA61" s="724"/>
      <c r="AB61" s="724"/>
      <c r="AC61" s="724"/>
    </row>
    <row r="62" spans="1:29" ht="12.6" customHeight="1">
      <c r="A62" s="28" t="s">
        <v>600</v>
      </c>
    </row>
    <row r="63" spans="1:29" ht="12.6" customHeight="1">
      <c r="A63" s="455" t="s">
        <v>601</v>
      </c>
      <c r="B63" s="970">
        <f>principal1</f>
        <v>29573</v>
      </c>
    </row>
    <row r="64" spans="1:29">
      <c r="A64" s="456" t="s">
        <v>207</v>
      </c>
      <c r="B64" s="971">
        <f>_Int1</f>
        <v>6.7299999999999999E-2</v>
      </c>
    </row>
    <row r="65" spans="1:53">
      <c r="A65" s="673" t="s">
        <v>190</v>
      </c>
      <c r="B65" s="674">
        <f>term1</f>
        <v>4</v>
      </c>
      <c r="E65" s="972">
        <f>E4</f>
        <v>1</v>
      </c>
      <c r="F65" s="972">
        <f t="shared" ref="F65:AC65" si="4">F4</f>
        <v>2</v>
      </c>
      <c r="G65" s="972">
        <f t="shared" si="4"/>
        <v>3</v>
      </c>
      <c r="H65" s="972">
        <f t="shared" si="4"/>
        <v>4</v>
      </c>
      <c r="I65" s="972">
        <f t="shared" si="4"/>
        <v>5</v>
      </c>
      <c r="J65" s="972">
        <f t="shared" si="4"/>
        <v>6</v>
      </c>
      <c r="K65" s="972">
        <f t="shared" si="4"/>
        <v>7</v>
      </c>
      <c r="L65" s="972">
        <f t="shared" si="4"/>
        <v>8</v>
      </c>
      <c r="M65" s="972">
        <f t="shared" si="4"/>
        <v>9</v>
      </c>
      <c r="N65" s="972">
        <f t="shared" si="4"/>
        <v>10</v>
      </c>
      <c r="O65" s="972">
        <f t="shared" si="4"/>
        <v>11</v>
      </c>
      <c r="P65" s="972">
        <f t="shared" si="4"/>
        <v>12</v>
      </c>
      <c r="Q65" s="972">
        <f t="shared" si="4"/>
        <v>13</v>
      </c>
      <c r="R65" s="972">
        <f t="shared" si="4"/>
        <v>14</v>
      </c>
      <c r="S65" s="972">
        <f t="shared" si="4"/>
        <v>15</v>
      </c>
      <c r="T65" s="972">
        <f t="shared" si="4"/>
        <v>16</v>
      </c>
      <c r="U65" s="972">
        <f t="shared" si="4"/>
        <v>17</v>
      </c>
      <c r="V65" s="972">
        <f t="shared" si="4"/>
        <v>18</v>
      </c>
      <c r="W65" s="972">
        <f t="shared" si="4"/>
        <v>19</v>
      </c>
      <c r="X65" s="972">
        <f t="shared" si="4"/>
        <v>20</v>
      </c>
      <c r="Y65" s="972">
        <f t="shared" si="4"/>
        <v>21</v>
      </c>
      <c r="Z65" s="972">
        <f t="shared" si="4"/>
        <v>22</v>
      </c>
      <c r="AA65" s="972">
        <f t="shared" si="4"/>
        <v>23</v>
      </c>
      <c r="AB65" s="972">
        <f t="shared" si="4"/>
        <v>24</v>
      </c>
      <c r="AC65" s="972">
        <f t="shared" si="4"/>
        <v>25</v>
      </c>
    </row>
    <row r="66" spans="1:53" s="36" customFormat="1" ht="12.6" customHeight="1">
      <c r="A66" s="58"/>
      <c r="B66" s="58"/>
      <c r="C66" s="28" t="s">
        <v>602</v>
      </c>
      <c r="D66" s="27"/>
      <c r="E66" s="972">
        <f>E5</f>
        <v>2000</v>
      </c>
      <c r="F66" s="972">
        <f t="shared" ref="F66:AC66" si="5">F5</f>
        <v>2001</v>
      </c>
      <c r="G66" s="972">
        <f t="shared" si="5"/>
        <v>2002</v>
      </c>
      <c r="H66" s="972">
        <f t="shared" si="5"/>
        <v>2003</v>
      </c>
      <c r="I66" s="972">
        <f t="shared" si="5"/>
        <v>2004</v>
      </c>
      <c r="J66" s="972">
        <f t="shared" si="5"/>
        <v>2005</v>
      </c>
      <c r="K66" s="972">
        <f t="shared" si="5"/>
        <v>2006</v>
      </c>
      <c r="L66" s="972">
        <f t="shared" si="5"/>
        <v>2007</v>
      </c>
      <c r="M66" s="972">
        <f t="shared" si="5"/>
        <v>2008</v>
      </c>
      <c r="N66" s="972">
        <f t="shared" si="5"/>
        <v>2009</v>
      </c>
      <c r="O66" s="972">
        <f t="shared" si="5"/>
        <v>2010</v>
      </c>
      <c r="P66" s="972">
        <f t="shared" si="5"/>
        <v>2011</v>
      </c>
      <c r="Q66" s="972">
        <f t="shared" si="5"/>
        <v>2012</v>
      </c>
      <c r="R66" s="972">
        <f t="shared" si="5"/>
        <v>2013</v>
      </c>
      <c r="S66" s="972">
        <f t="shared" si="5"/>
        <v>2014</v>
      </c>
      <c r="T66" s="972">
        <f t="shared" si="5"/>
        <v>2015</v>
      </c>
      <c r="U66" s="972">
        <f t="shared" si="5"/>
        <v>2016</v>
      </c>
      <c r="V66" s="972">
        <f t="shared" si="5"/>
        <v>2017</v>
      </c>
      <c r="W66" s="972">
        <f t="shared" si="5"/>
        <v>2018</v>
      </c>
      <c r="X66" s="972">
        <f t="shared" si="5"/>
        <v>2019</v>
      </c>
      <c r="Y66" s="972">
        <f t="shared" si="5"/>
        <v>2020</v>
      </c>
      <c r="Z66" s="972">
        <f t="shared" si="5"/>
        <v>2021</v>
      </c>
      <c r="AA66" s="972">
        <f t="shared" si="5"/>
        <v>2022</v>
      </c>
      <c r="AB66" s="972">
        <f t="shared" si="5"/>
        <v>2023</v>
      </c>
      <c r="AC66" s="972">
        <f t="shared" si="5"/>
        <v>2024</v>
      </c>
      <c r="AD66" s="27"/>
      <c r="AE66" s="27"/>
      <c r="AF66" s="27"/>
      <c r="AG66" s="27"/>
      <c r="AH66" s="27"/>
      <c r="AI66" s="40"/>
      <c r="AJ66" s="40"/>
      <c r="AK66" s="40"/>
      <c r="AL66" s="40"/>
      <c r="AM66" s="40"/>
      <c r="AN66" s="40"/>
      <c r="AO66" s="40"/>
      <c r="AP66" s="40"/>
      <c r="AQ66" s="40"/>
      <c r="AR66" s="40"/>
      <c r="AS66" s="40"/>
      <c r="AT66" s="40"/>
      <c r="AU66" s="40"/>
      <c r="AV66" s="40"/>
      <c r="AW66" s="40"/>
      <c r="AX66" s="40"/>
      <c r="AY66" s="40"/>
      <c r="AZ66" s="40"/>
      <c r="BA66" s="40"/>
    </row>
    <row r="67" spans="1:53" s="699" customFormat="1" ht="12.6" customHeight="1">
      <c r="A67" s="973"/>
      <c r="B67" s="974"/>
      <c r="C67" s="974"/>
      <c r="D67" s="974"/>
      <c r="E67" s="975"/>
      <c r="F67" s="975"/>
      <c r="G67" s="975"/>
      <c r="H67" s="975"/>
      <c r="I67" s="975"/>
      <c r="J67" s="975"/>
      <c r="K67" s="975"/>
      <c r="L67" s="975"/>
      <c r="M67" s="975"/>
      <c r="N67" s="975"/>
      <c r="O67" s="975"/>
      <c r="P67" s="975"/>
      <c r="Q67" s="975"/>
      <c r="R67" s="975"/>
      <c r="S67" s="975"/>
      <c r="T67" s="27"/>
      <c r="U67" s="27"/>
      <c r="V67" s="27"/>
      <c r="W67" s="27"/>
      <c r="X67" s="27"/>
      <c r="Y67" s="27"/>
      <c r="Z67" s="27"/>
      <c r="AA67" s="27"/>
      <c r="AB67" s="27"/>
      <c r="AC67" s="27"/>
      <c r="AD67" s="27"/>
      <c r="AE67" s="27"/>
      <c r="AF67" s="27"/>
      <c r="AG67" s="27"/>
      <c r="AH67" s="27"/>
    </row>
    <row r="68" spans="1:53" ht="12.6" customHeight="1">
      <c r="A68" s="976" t="s">
        <v>603</v>
      </c>
      <c r="B68" s="977"/>
      <c r="C68" s="978">
        <f>B63</f>
        <v>29573</v>
      </c>
      <c r="E68" s="979">
        <f>C68</f>
        <v>29573</v>
      </c>
      <c r="F68" s="979">
        <f t="shared" ref="F68:AC68" si="6">E72</f>
        <v>22179.75</v>
      </c>
      <c r="G68" s="979">
        <f t="shared" si="6"/>
        <v>14786.5</v>
      </c>
      <c r="H68" s="979">
        <f t="shared" si="6"/>
        <v>7393.25</v>
      </c>
      <c r="I68" s="979">
        <f t="shared" si="6"/>
        <v>0</v>
      </c>
      <c r="J68" s="979">
        <f t="shared" si="6"/>
        <v>0</v>
      </c>
      <c r="K68" s="979">
        <f t="shared" si="6"/>
        <v>0</v>
      </c>
      <c r="L68" s="979">
        <f t="shared" si="6"/>
        <v>0</v>
      </c>
      <c r="M68" s="979">
        <f t="shared" si="6"/>
        <v>0</v>
      </c>
      <c r="N68" s="979">
        <f t="shared" si="6"/>
        <v>0</v>
      </c>
      <c r="O68" s="979">
        <f t="shared" si="6"/>
        <v>0</v>
      </c>
      <c r="P68" s="979">
        <f t="shared" si="6"/>
        <v>0</v>
      </c>
      <c r="Q68" s="979">
        <f t="shared" si="6"/>
        <v>0</v>
      </c>
      <c r="R68" s="979">
        <f t="shared" si="6"/>
        <v>0</v>
      </c>
      <c r="S68" s="979">
        <f t="shared" si="6"/>
        <v>0</v>
      </c>
      <c r="T68" s="979">
        <f t="shared" si="6"/>
        <v>0</v>
      </c>
      <c r="U68" s="979">
        <f t="shared" si="6"/>
        <v>0</v>
      </c>
      <c r="V68" s="979">
        <f t="shared" si="6"/>
        <v>0</v>
      </c>
      <c r="W68" s="979">
        <f t="shared" si="6"/>
        <v>0</v>
      </c>
      <c r="X68" s="979">
        <f t="shared" si="6"/>
        <v>0</v>
      </c>
      <c r="Y68" s="979">
        <f t="shared" si="6"/>
        <v>0</v>
      </c>
      <c r="Z68" s="979">
        <f t="shared" si="6"/>
        <v>0</v>
      </c>
      <c r="AA68" s="979">
        <f t="shared" si="6"/>
        <v>0</v>
      </c>
      <c r="AB68" s="979">
        <f t="shared" si="6"/>
        <v>0</v>
      </c>
      <c r="AC68" s="979">
        <f t="shared" si="6"/>
        <v>0</v>
      </c>
    </row>
    <row r="69" spans="1:53" ht="12.6" customHeight="1">
      <c r="A69" s="976" t="s">
        <v>604</v>
      </c>
      <c r="B69" s="980"/>
      <c r="C69" s="979"/>
      <c r="E69" s="979">
        <f>E68*$B$64</f>
        <v>1990.2628999999999</v>
      </c>
      <c r="F69" s="979">
        <f t="shared" ref="F69:AC69" si="7">F68*$B$64</f>
        <v>1492.697175</v>
      </c>
      <c r="G69" s="979">
        <f t="shared" si="7"/>
        <v>995.13144999999997</v>
      </c>
      <c r="H69" s="979">
        <f t="shared" si="7"/>
        <v>497.56572499999999</v>
      </c>
      <c r="I69" s="979">
        <f t="shared" si="7"/>
        <v>0</v>
      </c>
      <c r="J69" s="979">
        <f t="shared" si="7"/>
        <v>0</v>
      </c>
      <c r="K69" s="979">
        <f t="shared" si="7"/>
        <v>0</v>
      </c>
      <c r="L69" s="979">
        <f t="shared" si="7"/>
        <v>0</v>
      </c>
      <c r="M69" s="979">
        <f t="shared" si="7"/>
        <v>0</v>
      </c>
      <c r="N69" s="979">
        <f t="shared" si="7"/>
        <v>0</v>
      </c>
      <c r="O69" s="979">
        <f t="shared" si="7"/>
        <v>0</v>
      </c>
      <c r="P69" s="979">
        <f t="shared" si="7"/>
        <v>0</v>
      </c>
      <c r="Q69" s="979">
        <f t="shared" si="7"/>
        <v>0</v>
      </c>
      <c r="R69" s="979">
        <f t="shared" si="7"/>
        <v>0</v>
      </c>
      <c r="S69" s="979">
        <f t="shared" si="7"/>
        <v>0</v>
      </c>
      <c r="T69" s="979">
        <f t="shared" si="7"/>
        <v>0</v>
      </c>
      <c r="U69" s="979">
        <f t="shared" si="7"/>
        <v>0</v>
      </c>
      <c r="V69" s="979">
        <f t="shared" si="7"/>
        <v>0</v>
      </c>
      <c r="W69" s="979">
        <f t="shared" si="7"/>
        <v>0</v>
      </c>
      <c r="X69" s="979">
        <f t="shared" si="7"/>
        <v>0</v>
      </c>
      <c r="Y69" s="979">
        <f t="shared" si="7"/>
        <v>0</v>
      </c>
      <c r="Z69" s="979">
        <f t="shared" si="7"/>
        <v>0</v>
      </c>
      <c r="AA69" s="979">
        <f t="shared" si="7"/>
        <v>0</v>
      </c>
      <c r="AB69" s="979">
        <f t="shared" si="7"/>
        <v>0</v>
      </c>
      <c r="AC69" s="979">
        <f t="shared" si="7"/>
        <v>0</v>
      </c>
    </row>
    <row r="70" spans="1:53" ht="12.6" customHeight="1">
      <c r="A70" s="976" t="s">
        <v>605</v>
      </c>
      <c r="B70" s="977"/>
      <c r="C70" s="979"/>
      <c r="E70" s="981">
        <f>$C$68*E74</f>
        <v>7393.25</v>
      </c>
      <c r="F70" s="981">
        <f t="shared" ref="F70:AC70" si="8">$C$68*F74</f>
        <v>7393.25</v>
      </c>
      <c r="G70" s="981">
        <f t="shared" si="8"/>
        <v>7393.25</v>
      </c>
      <c r="H70" s="981">
        <f t="shared" si="8"/>
        <v>7393.25</v>
      </c>
      <c r="I70" s="981">
        <f t="shared" si="8"/>
        <v>0</v>
      </c>
      <c r="J70" s="981">
        <f t="shared" si="8"/>
        <v>0</v>
      </c>
      <c r="K70" s="981">
        <f t="shared" si="8"/>
        <v>0</v>
      </c>
      <c r="L70" s="981">
        <f t="shared" si="8"/>
        <v>0</v>
      </c>
      <c r="M70" s="981">
        <f t="shared" si="8"/>
        <v>0</v>
      </c>
      <c r="N70" s="981">
        <f t="shared" si="8"/>
        <v>0</v>
      </c>
      <c r="O70" s="981">
        <f t="shared" si="8"/>
        <v>0</v>
      </c>
      <c r="P70" s="981">
        <f t="shared" si="8"/>
        <v>0</v>
      </c>
      <c r="Q70" s="981">
        <f t="shared" si="8"/>
        <v>0</v>
      </c>
      <c r="R70" s="981">
        <f t="shared" si="8"/>
        <v>0</v>
      </c>
      <c r="S70" s="981">
        <f t="shared" si="8"/>
        <v>0</v>
      </c>
      <c r="T70" s="981">
        <f t="shared" si="8"/>
        <v>0</v>
      </c>
      <c r="U70" s="981">
        <f t="shared" si="8"/>
        <v>0</v>
      </c>
      <c r="V70" s="981">
        <f t="shared" si="8"/>
        <v>0</v>
      </c>
      <c r="W70" s="981">
        <f t="shared" si="8"/>
        <v>0</v>
      </c>
      <c r="X70" s="981">
        <f t="shared" si="8"/>
        <v>0</v>
      </c>
      <c r="Y70" s="981">
        <f t="shared" si="8"/>
        <v>0</v>
      </c>
      <c r="Z70" s="981">
        <f t="shared" si="8"/>
        <v>0</v>
      </c>
      <c r="AA70" s="981">
        <f t="shared" si="8"/>
        <v>0</v>
      </c>
      <c r="AB70" s="981">
        <f t="shared" si="8"/>
        <v>0</v>
      </c>
      <c r="AC70" s="981">
        <f t="shared" si="8"/>
        <v>0</v>
      </c>
    </row>
    <row r="71" spans="1:53" ht="12.6" customHeight="1">
      <c r="A71" s="976" t="s">
        <v>606</v>
      </c>
      <c r="B71" s="977"/>
      <c r="C71" s="982"/>
      <c r="E71" s="982">
        <f>E70+E69</f>
        <v>9383.5128999999997</v>
      </c>
      <c r="F71" s="982">
        <f t="shared" ref="F71:AC71" si="9">F70+F69</f>
        <v>8885.9471749999993</v>
      </c>
      <c r="G71" s="982">
        <f t="shared" si="9"/>
        <v>8388.3814500000008</v>
      </c>
      <c r="H71" s="982">
        <f t="shared" si="9"/>
        <v>7890.8157250000004</v>
      </c>
      <c r="I71" s="982">
        <f t="shared" si="9"/>
        <v>0</v>
      </c>
      <c r="J71" s="982">
        <f t="shared" si="9"/>
        <v>0</v>
      </c>
      <c r="K71" s="982">
        <f t="shared" si="9"/>
        <v>0</v>
      </c>
      <c r="L71" s="982">
        <f t="shared" si="9"/>
        <v>0</v>
      </c>
      <c r="M71" s="982">
        <f t="shared" si="9"/>
        <v>0</v>
      </c>
      <c r="N71" s="982">
        <f t="shared" si="9"/>
        <v>0</v>
      </c>
      <c r="O71" s="982">
        <f t="shared" si="9"/>
        <v>0</v>
      </c>
      <c r="P71" s="982">
        <f t="shared" si="9"/>
        <v>0</v>
      </c>
      <c r="Q71" s="982">
        <f t="shared" si="9"/>
        <v>0</v>
      </c>
      <c r="R71" s="982">
        <f t="shared" si="9"/>
        <v>0</v>
      </c>
      <c r="S71" s="982">
        <f t="shared" si="9"/>
        <v>0</v>
      </c>
      <c r="T71" s="982">
        <f t="shared" si="9"/>
        <v>0</v>
      </c>
      <c r="U71" s="982">
        <f t="shared" si="9"/>
        <v>0</v>
      </c>
      <c r="V71" s="982">
        <f t="shared" si="9"/>
        <v>0</v>
      </c>
      <c r="W71" s="982">
        <f t="shared" si="9"/>
        <v>0</v>
      </c>
      <c r="X71" s="982">
        <f t="shared" si="9"/>
        <v>0</v>
      </c>
      <c r="Y71" s="982">
        <f t="shared" si="9"/>
        <v>0</v>
      </c>
      <c r="Z71" s="982">
        <f t="shared" si="9"/>
        <v>0</v>
      </c>
      <c r="AA71" s="982">
        <f t="shared" si="9"/>
        <v>0</v>
      </c>
      <c r="AB71" s="982">
        <f t="shared" si="9"/>
        <v>0</v>
      </c>
      <c r="AC71" s="982">
        <f t="shared" si="9"/>
        <v>0</v>
      </c>
    </row>
    <row r="72" spans="1:53" ht="12.6" customHeight="1">
      <c r="A72" s="976" t="s">
        <v>607</v>
      </c>
      <c r="B72" s="977"/>
      <c r="C72" s="979"/>
      <c r="E72" s="979">
        <f t="shared" ref="E72:AC72" si="10">E68-E70</f>
        <v>22179.75</v>
      </c>
      <c r="F72" s="979">
        <f t="shared" si="10"/>
        <v>14786.5</v>
      </c>
      <c r="G72" s="979">
        <f t="shared" si="10"/>
        <v>7393.25</v>
      </c>
      <c r="H72" s="979">
        <f t="shared" si="10"/>
        <v>0</v>
      </c>
      <c r="I72" s="979">
        <f t="shared" si="10"/>
        <v>0</v>
      </c>
      <c r="J72" s="979">
        <f t="shared" si="10"/>
        <v>0</v>
      </c>
      <c r="K72" s="979">
        <f t="shared" si="10"/>
        <v>0</v>
      </c>
      <c r="L72" s="979">
        <f t="shared" si="10"/>
        <v>0</v>
      </c>
      <c r="M72" s="979">
        <f t="shared" si="10"/>
        <v>0</v>
      </c>
      <c r="N72" s="979">
        <f t="shared" si="10"/>
        <v>0</v>
      </c>
      <c r="O72" s="979">
        <f t="shared" si="10"/>
        <v>0</v>
      </c>
      <c r="P72" s="979">
        <f t="shared" si="10"/>
        <v>0</v>
      </c>
      <c r="Q72" s="979">
        <f t="shared" si="10"/>
        <v>0</v>
      </c>
      <c r="R72" s="979">
        <f t="shared" si="10"/>
        <v>0</v>
      </c>
      <c r="S72" s="979">
        <f t="shared" si="10"/>
        <v>0</v>
      </c>
      <c r="T72" s="979">
        <f t="shared" si="10"/>
        <v>0</v>
      </c>
      <c r="U72" s="979">
        <f t="shared" si="10"/>
        <v>0</v>
      </c>
      <c r="V72" s="979">
        <f t="shared" si="10"/>
        <v>0</v>
      </c>
      <c r="W72" s="979">
        <f t="shared" si="10"/>
        <v>0</v>
      </c>
      <c r="X72" s="979">
        <f t="shared" si="10"/>
        <v>0</v>
      </c>
      <c r="Y72" s="979">
        <f t="shared" si="10"/>
        <v>0</v>
      </c>
      <c r="Z72" s="979">
        <f t="shared" si="10"/>
        <v>0</v>
      </c>
      <c r="AA72" s="979">
        <f t="shared" si="10"/>
        <v>0</v>
      </c>
      <c r="AB72" s="979">
        <f t="shared" si="10"/>
        <v>0</v>
      </c>
      <c r="AC72" s="979">
        <f t="shared" si="10"/>
        <v>0</v>
      </c>
    </row>
    <row r="73" spans="1:53" ht="12.6" customHeight="1">
      <c r="A73" s="976" t="s">
        <v>608</v>
      </c>
      <c r="B73" s="977"/>
      <c r="C73" s="983">
        <f>SUMPRODUCT(E70:AC70,E65:AC65)/SUM(E70:AC70)</f>
        <v>2.5</v>
      </c>
      <c r="D73" s="36"/>
      <c r="E73" s="984"/>
      <c r="F73" s="979"/>
      <c r="G73" s="979"/>
      <c r="H73" s="979"/>
      <c r="I73" s="979"/>
      <c r="J73" s="979"/>
      <c r="K73" s="979"/>
      <c r="L73" s="979"/>
      <c r="M73" s="979"/>
      <c r="N73" s="979"/>
      <c r="O73" s="979"/>
      <c r="P73" s="979"/>
      <c r="Q73" s="979"/>
      <c r="R73" s="979"/>
      <c r="S73" s="979"/>
      <c r="T73" s="979"/>
      <c r="U73" s="979"/>
      <c r="V73" s="979"/>
      <c r="W73" s="979"/>
      <c r="X73" s="979"/>
      <c r="Y73" s="979"/>
      <c r="Z73" s="979"/>
      <c r="AA73" s="979"/>
      <c r="AB73" s="979"/>
      <c r="AC73" s="979"/>
    </row>
    <row r="74" spans="1:53" ht="12.6" customHeight="1">
      <c r="B74" s="699"/>
      <c r="C74" s="985" t="s">
        <v>609</v>
      </c>
      <c r="D74" s="986">
        <f>SUM(E74:AC74)</f>
        <v>1</v>
      </c>
      <c r="E74" s="987">
        <v>0.25</v>
      </c>
      <c r="F74" s="987">
        <v>0.25</v>
      </c>
      <c r="G74" s="987">
        <v>0.25</v>
      </c>
      <c r="H74" s="987">
        <v>0.25</v>
      </c>
      <c r="I74" s="987">
        <v>0</v>
      </c>
      <c r="J74" s="987">
        <v>0</v>
      </c>
      <c r="K74" s="987">
        <v>0</v>
      </c>
      <c r="L74" s="987">
        <v>0</v>
      </c>
      <c r="M74" s="987">
        <v>0</v>
      </c>
      <c r="N74" s="987">
        <v>0</v>
      </c>
      <c r="O74" s="987">
        <v>0</v>
      </c>
      <c r="P74" s="987">
        <v>0</v>
      </c>
      <c r="Q74" s="987">
        <v>0</v>
      </c>
      <c r="R74" s="987">
        <v>0</v>
      </c>
      <c r="S74" s="987">
        <v>0</v>
      </c>
      <c r="T74" s="987">
        <v>0</v>
      </c>
      <c r="U74" s="987">
        <v>0</v>
      </c>
      <c r="V74" s="987">
        <v>0</v>
      </c>
      <c r="W74" s="987">
        <v>0</v>
      </c>
      <c r="X74" s="987">
        <v>0</v>
      </c>
      <c r="Y74" s="987">
        <v>0</v>
      </c>
      <c r="Z74" s="987">
        <v>0</v>
      </c>
      <c r="AA74" s="987">
        <v>0</v>
      </c>
      <c r="AB74" s="987">
        <v>0</v>
      </c>
      <c r="AC74" s="987">
        <v>0</v>
      </c>
    </row>
    <row r="75" spans="1:53" ht="12.6" customHeight="1"/>
    <row r="76" spans="1:53" ht="12.6" customHeight="1">
      <c r="A76" s="28" t="s">
        <v>610</v>
      </c>
    </row>
    <row r="77" spans="1:53" ht="12.6" customHeight="1">
      <c r="A77" s="455" t="s">
        <v>601</v>
      </c>
      <c r="B77" s="970">
        <f>principal2</f>
        <v>54410</v>
      </c>
    </row>
    <row r="78" spans="1:53">
      <c r="A78" s="456" t="s">
        <v>207</v>
      </c>
      <c r="B78" s="971">
        <f>_Int2</f>
        <v>7.5700000000000003E-2</v>
      </c>
    </row>
    <row r="79" spans="1:53">
      <c r="A79" s="673" t="s">
        <v>190</v>
      </c>
      <c r="B79" s="674">
        <f>term2</f>
        <v>10</v>
      </c>
      <c r="E79" s="972">
        <f>E4</f>
        <v>1</v>
      </c>
      <c r="F79" s="972">
        <f t="shared" ref="F79:AC79" si="11">F4</f>
        <v>2</v>
      </c>
      <c r="G79" s="972">
        <f t="shared" si="11"/>
        <v>3</v>
      </c>
      <c r="H79" s="972">
        <f t="shared" si="11"/>
        <v>4</v>
      </c>
      <c r="I79" s="972">
        <f t="shared" si="11"/>
        <v>5</v>
      </c>
      <c r="J79" s="972">
        <f t="shared" si="11"/>
        <v>6</v>
      </c>
      <c r="K79" s="972">
        <f t="shared" si="11"/>
        <v>7</v>
      </c>
      <c r="L79" s="972">
        <f t="shared" si="11"/>
        <v>8</v>
      </c>
      <c r="M79" s="972">
        <f t="shared" si="11"/>
        <v>9</v>
      </c>
      <c r="N79" s="972">
        <f t="shared" si="11"/>
        <v>10</v>
      </c>
      <c r="O79" s="972">
        <f t="shared" si="11"/>
        <v>11</v>
      </c>
      <c r="P79" s="972">
        <f t="shared" si="11"/>
        <v>12</v>
      </c>
      <c r="Q79" s="972">
        <f t="shared" si="11"/>
        <v>13</v>
      </c>
      <c r="R79" s="972">
        <f t="shared" si="11"/>
        <v>14</v>
      </c>
      <c r="S79" s="972">
        <f t="shared" si="11"/>
        <v>15</v>
      </c>
      <c r="T79" s="972">
        <f t="shared" si="11"/>
        <v>16</v>
      </c>
      <c r="U79" s="972">
        <f t="shared" si="11"/>
        <v>17</v>
      </c>
      <c r="V79" s="972">
        <f t="shared" si="11"/>
        <v>18</v>
      </c>
      <c r="W79" s="972">
        <f t="shared" si="11"/>
        <v>19</v>
      </c>
      <c r="X79" s="972">
        <f t="shared" si="11"/>
        <v>20</v>
      </c>
      <c r="Y79" s="972">
        <f t="shared" si="11"/>
        <v>21</v>
      </c>
      <c r="Z79" s="972">
        <f t="shared" si="11"/>
        <v>22</v>
      </c>
      <c r="AA79" s="972">
        <f t="shared" si="11"/>
        <v>23</v>
      </c>
      <c r="AB79" s="972">
        <f t="shared" si="11"/>
        <v>24</v>
      </c>
      <c r="AC79" s="972">
        <f t="shared" si="11"/>
        <v>25</v>
      </c>
    </row>
    <row r="80" spans="1:53">
      <c r="A80" s="58"/>
      <c r="B80" s="58"/>
      <c r="C80" s="28" t="s">
        <v>602</v>
      </c>
      <c r="E80" s="972">
        <f>E5</f>
        <v>2000</v>
      </c>
      <c r="F80" s="972">
        <f t="shared" ref="F80:AC80" si="12">F5</f>
        <v>2001</v>
      </c>
      <c r="G80" s="972">
        <f t="shared" si="12"/>
        <v>2002</v>
      </c>
      <c r="H80" s="972">
        <f t="shared" si="12"/>
        <v>2003</v>
      </c>
      <c r="I80" s="972">
        <f t="shared" si="12"/>
        <v>2004</v>
      </c>
      <c r="J80" s="972">
        <f t="shared" si="12"/>
        <v>2005</v>
      </c>
      <c r="K80" s="972">
        <f t="shared" si="12"/>
        <v>2006</v>
      </c>
      <c r="L80" s="972">
        <f t="shared" si="12"/>
        <v>2007</v>
      </c>
      <c r="M80" s="972">
        <f t="shared" si="12"/>
        <v>2008</v>
      </c>
      <c r="N80" s="972">
        <f t="shared" si="12"/>
        <v>2009</v>
      </c>
      <c r="O80" s="972">
        <f t="shared" si="12"/>
        <v>2010</v>
      </c>
      <c r="P80" s="972">
        <f t="shared" si="12"/>
        <v>2011</v>
      </c>
      <c r="Q80" s="972">
        <f t="shared" si="12"/>
        <v>2012</v>
      </c>
      <c r="R80" s="972">
        <f t="shared" si="12"/>
        <v>2013</v>
      </c>
      <c r="S80" s="972">
        <f t="shared" si="12"/>
        <v>2014</v>
      </c>
      <c r="T80" s="972">
        <f t="shared" si="12"/>
        <v>2015</v>
      </c>
      <c r="U80" s="972">
        <f t="shared" si="12"/>
        <v>2016</v>
      </c>
      <c r="V80" s="972">
        <f t="shared" si="12"/>
        <v>2017</v>
      </c>
      <c r="W80" s="972">
        <f t="shared" si="12"/>
        <v>2018</v>
      </c>
      <c r="X80" s="972">
        <f t="shared" si="12"/>
        <v>2019</v>
      </c>
      <c r="Y80" s="972">
        <f t="shared" si="12"/>
        <v>2020</v>
      </c>
      <c r="Z80" s="972">
        <f t="shared" si="12"/>
        <v>2021</v>
      </c>
      <c r="AA80" s="972">
        <f t="shared" si="12"/>
        <v>2022</v>
      </c>
      <c r="AB80" s="972">
        <f t="shared" si="12"/>
        <v>2023</v>
      </c>
      <c r="AC80" s="972">
        <f t="shared" si="12"/>
        <v>2024</v>
      </c>
    </row>
    <row r="81" spans="1:34">
      <c r="A81" s="973"/>
      <c r="B81" s="974"/>
      <c r="C81" s="974"/>
      <c r="D81" s="974"/>
      <c r="E81" s="975"/>
      <c r="F81" s="975"/>
      <c r="G81" s="975"/>
      <c r="H81" s="975"/>
      <c r="I81" s="975"/>
      <c r="J81" s="975"/>
      <c r="K81" s="975"/>
      <c r="L81" s="975"/>
      <c r="M81" s="975"/>
      <c r="N81" s="975"/>
      <c r="O81" s="975"/>
      <c r="P81" s="975"/>
      <c r="Q81" s="975"/>
      <c r="R81" s="975"/>
      <c r="S81" s="975"/>
    </row>
    <row r="82" spans="1:34">
      <c r="A82" s="976" t="s">
        <v>603</v>
      </c>
      <c r="B82" s="977"/>
      <c r="C82" s="978">
        <f>B77</f>
        <v>54410</v>
      </c>
      <c r="E82" s="979">
        <f>C82</f>
        <v>54410</v>
      </c>
      <c r="F82" s="979">
        <f t="shared" ref="F82:AC82" si="13">E86</f>
        <v>54410</v>
      </c>
      <c r="G82" s="979">
        <f t="shared" si="13"/>
        <v>54410</v>
      </c>
      <c r="H82" s="979">
        <f t="shared" si="13"/>
        <v>51689.5</v>
      </c>
      <c r="I82" s="979">
        <f t="shared" si="13"/>
        <v>46248.5</v>
      </c>
      <c r="J82" s="979">
        <f t="shared" si="13"/>
        <v>40807.5</v>
      </c>
      <c r="K82" s="979">
        <f t="shared" si="13"/>
        <v>35366.5</v>
      </c>
      <c r="L82" s="979">
        <f t="shared" si="13"/>
        <v>29925.5</v>
      </c>
      <c r="M82" s="979">
        <f t="shared" si="13"/>
        <v>24484.5</v>
      </c>
      <c r="N82" s="979">
        <f t="shared" si="13"/>
        <v>13602.5</v>
      </c>
      <c r="O82" s="979">
        <f t="shared" si="13"/>
        <v>0</v>
      </c>
      <c r="P82" s="979">
        <f t="shared" si="13"/>
        <v>0</v>
      </c>
      <c r="Q82" s="979">
        <f t="shared" si="13"/>
        <v>0</v>
      </c>
      <c r="R82" s="979">
        <f t="shared" si="13"/>
        <v>0</v>
      </c>
      <c r="S82" s="979">
        <f t="shared" si="13"/>
        <v>0</v>
      </c>
      <c r="T82" s="979">
        <f t="shared" si="13"/>
        <v>0</v>
      </c>
      <c r="U82" s="979">
        <f t="shared" si="13"/>
        <v>0</v>
      </c>
      <c r="V82" s="979">
        <f t="shared" si="13"/>
        <v>0</v>
      </c>
      <c r="W82" s="979">
        <f t="shared" si="13"/>
        <v>0</v>
      </c>
      <c r="X82" s="979">
        <f t="shared" si="13"/>
        <v>0</v>
      </c>
      <c r="Y82" s="979">
        <f t="shared" si="13"/>
        <v>0</v>
      </c>
      <c r="Z82" s="979">
        <f t="shared" si="13"/>
        <v>0</v>
      </c>
      <c r="AA82" s="979">
        <f t="shared" si="13"/>
        <v>0</v>
      </c>
      <c r="AB82" s="979">
        <f t="shared" si="13"/>
        <v>0</v>
      </c>
      <c r="AC82" s="979">
        <f t="shared" si="13"/>
        <v>0</v>
      </c>
    </row>
    <row r="83" spans="1:34">
      <c r="A83" s="976" t="s">
        <v>604</v>
      </c>
      <c r="B83" s="980"/>
      <c r="C83" s="979"/>
      <c r="E83" s="979">
        <f>E82*$B$78</f>
        <v>4118.8370000000004</v>
      </c>
      <c r="F83" s="979">
        <f t="shared" ref="F83:AC83" si="14">F82*$B$78</f>
        <v>4118.8370000000004</v>
      </c>
      <c r="G83" s="979">
        <f t="shared" si="14"/>
        <v>4118.8370000000004</v>
      </c>
      <c r="H83" s="979">
        <f t="shared" si="14"/>
        <v>3912.8951500000003</v>
      </c>
      <c r="I83" s="979">
        <f t="shared" si="14"/>
        <v>3501.01145</v>
      </c>
      <c r="J83" s="979">
        <f t="shared" si="14"/>
        <v>3089.1277500000001</v>
      </c>
      <c r="K83" s="979">
        <f t="shared" si="14"/>
        <v>2677.2440500000002</v>
      </c>
      <c r="L83" s="979">
        <f t="shared" si="14"/>
        <v>2265.3603499999999</v>
      </c>
      <c r="M83" s="979">
        <f t="shared" si="14"/>
        <v>1853.4766500000001</v>
      </c>
      <c r="N83" s="979">
        <f t="shared" si="14"/>
        <v>1029.7092500000001</v>
      </c>
      <c r="O83" s="979">
        <f t="shared" si="14"/>
        <v>0</v>
      </c>
      <c r="P83" s="979">
        <f t="shared" si="14"/>
        <v>0</v>
      </c>
      <c r="Q83" s="979">
        <f t="shared" si="14"/>
        <v>0</v>
      </c>
      <c r="R83" s="979">
        <f t="shared" si="14"/>
        <v>0</v>
      </c>
      <c r="S83" s="979">
        <f t="shared" si="14"/>
        <v>0</v>
      </c>
      <c r="T83" s="979">
        <f t="shared" si="14"/>
        <v>0</v>
      </c>
      <c r="U83" s="979">
        <f t="shared" si="14"/>
        <v>0</v>
      </c>
      <c r="V83" s="979">
        <f t="shared" si="14"/>
        <v>0</v>
      </c>
      <c r="W83" s="979">
        <f t="shared" si="14"/>
        <v>0</v>
      </c>
      <c r="X83" s="979">
        <f t="shared" si="14"/>
        <v>0</v>
      </c>
      <c r="Y83" s="979">
        <f t="shared" si="14"/>
        <v>0</v>
      </c>
      <c r="Z83" s="979">
        <f t="shared" si="14"/>
        <v>0</v>
      </c>
      <c r="AA83" s="979">
        <f t="shared" si="14"/>
        <v>0</v>
      </c>
      <c r="AB83" s="979">
        <f t="shared" si="14"/>
        <v>0</v>
      </c>
      <c r="AC83" s="979">
        <f t="shared" si="14"/>
        <v>0</v>
      </c>
    </row>
    <row r="84" spans="1:34" ht="12.6" customHeight="1">
      <c r="A84" s="976" t="s">
        <v>605</v>
      </c>
      <c r="B84" s="977"/>
      <c r="C84" s="979"/>
      <c r="E84" s="981">
        <f>$C$82*E88</f>
        <v>0</v>
      </c>
      <c r="F84" s="981">
        <f t="shared" ref="F84:AC84" si="15">$C$82*F88</f>
        <v>0</v>
      </c>
      <c r="G84" s="981">
        <f t="shared" si="15"/>
        <v>2720.5</v>
      </c>
      <c r="H84" s="981">
        <f t="shared" si="15"/>
        <v>5441</v>
      </c>
      <c r="I84" s="981">
        <f t="shared" si="15"/>
        <v>5441</v>
      </c>
      <c r="J84" s="981">
        <f t="shared" si="15"/>
        <v>5441</v>
      </c>
      <c r="K84" s="981">
        <f t="shared" si="15"/>
        <v>5441</v>
      </c>
      <c r="L84" s="981">
        <f t="shared" si="15"/>
        <v>5441</v>
      </c>
      <c r="M84" s="981">
        <f t="shared" si="15"/>
        <v>10882</v>
      </c>
      <c r="N84" s="981">
        <f t="shared" si="15"/>
        <v>13602.5</v>
      </c>
      <c r="O84" s="981">
        <f t="shared" si="15"/>
        <v>0</v>
      </c>
      <c r="P84" s="981">
        <f t="shared" si="15"/>
        <v>0</v>
      </c>
      <c r="Q84" s="981">
        <f t="shared" si="15"/>
        <v>0</v>
      </c>
      <c r="R84" s="981">
        <f t="shared" si="15"/>
        <v>0</v>
      </c>
      <c r="S84" s="981">
        <f t="shared" si="15"/>
        <v>0</v>
      </c>
      <c r="T84" s="981">
        <f t="shared" si="15"/>
        <v>0</v>
      </c>
      <c r="U84" s="981">
        <f t="shared" si="15"/>
        <v>0</v>
      </c>
      <c r="V84" s="981">
        <f t="shared" si="15"/>
        <v>0</v>
      </c>
      <c r="W84" s="981">
        <f t="shared" si="15"/>
        <v>0</v>
      </c>
      <c r="X84" s="981">
        <f t="shared" si="15"/>
        <v>0</v>
      </c>
      <c r="Y84" s="981">
        <f t="shared" si="15"/>
        <v>0</v>
      </c>
      <c r="Z84" s="981">
        <f t="shared" si="15"/>
        <v>0</v>
      </c>
      <c r="AA84" s="981">
        <f t="shared" si="15"/>
        <v>0</v>
      </c>
      <c r="AB84" s="981">
        <f t="shared" si="15"/>
        <v>0</v>
      </c>
      <c r="AC84" s="981">
        <f t="shared" si="15"/>
        <v>0</v>
      </c>
    </row>
    <row r="85" spans="1:34" ht="12.6" customHeight="1">
      <c r="A85" s="976" t="s">
        <v>606</v>
      </c>
      <c r="B85" s="977"/>
      <c r="C85" s="982"/>
      <c r="E85" s="982">
        <f t="shared" ref="E85:AC85" si="16">E84+E83</f>
        <v>4118.8370000000004</v>
      </c>
      <c r="F85" s="982">
        <f t="shared" si="16"/>
        <v>4118.8370000000004</v>
      </c>
      <c r="G85" s="982">
        <f t="shared" si="16"/>
        <v>6839.3370000000004</v>
      </c>
      <c r="H85" s="982">
        <f t="shared" si="16"/>
        <v>9353.8951500000003</v>
      </c>
      <c r="I85" s="982">
        <f t="shared" si="16"/>
        <v>8942.01145</v>
      </c>
      <c r="J85" s="982">
        <f t="shared" si="16"/>
        <v>8530.1277499999997</v>
      </c>
      <c r="K85" s="982">
        <f t="shared" si="16"/>
        <v>8118.2440500000002</v>
      </c>
      <c r="L85" s="982">
        <f t="shared" si="16"/>
        <v>7706.3603499999999</v>
      </c>
      <c r="M85" s="982">
        <f t="shared" si="16"/>
        <v>12735.476650000001</v>
      </c>
      <c r="N85" s="982">
        <f t="shared" si="16"/>
        <v>14632.20925</v>
      </c>
      <c r="O85" s="982">
        <f t="shared" si="16"/>
        <v>0</v>
      </c>
      <c r="P85" s="982">
        <f t="shared" si="16"/>
        <v>0</v>
      </c>
      <c r="Q85" s="982">
        <f t="shared" si="16"/>
        <v>0</v>
      </c>
      <c r="R85" s="982">
        <f t="shared" si="16"/>
        <v>0</v>
      </c>
      <c r="S85" s="982">
        <f t="shared" si="16"/>
        <v>0</v>
      </c>
      <c r="T85" s="982">
        <f t="shared" si="16"/>
        <v>0</v>
      </c>
      <c r="U85" s="982">
        <f t="shared" si="16"/>
        <v>0</v>
      </c>
      <c r="V85" s="982">
        <f t="shared" si="16"/>
        <v>0</v>
      </c>
      <c r="W85" s="982">
        <f t="shared" si="16"/>
        <v>0</v>
      </c>
      <c r="X85" s="982">
        <f t="shared" si="16"/>
        <v>0</v>
      </c>
      <c r="Y85" s="982">
        <f t="shared" si="16"/>
        <v>0</v>
      </c>
      <c r="Z85" s="982">
        <f t="shared" si="16"/>
        <v>0</v>
      </c>
      <c r="AA85" s="982">
        <f t="shared" si="16"/>
        <v>0</v>
      </c>
      <c r="AB85" s="982">
        <f t="shared" si="16"/>
        <v>0</v>
      </c>
      <c r="AC85" s="982">
        <f t="shared" si="16"/>
        <v>0</v>
      </c>
    </row>
    <row r="86" spans="1:34" ht="12.6" customHeight="1">
      <c r="A86" s="976" t="s">
        <v>607</v>
      </c>
      <c r="B86" s="977"/>
      <c r="C86" s="979"/>
      <c r="E86" s="979">
        <f t="shared" ref="E86:AC86" si="17">E82-E84</f>
        <v>54410</v>
      </c>
      <c r="F86" s="979">
        <f t="shared" si="17"/>
        <v>54410</v>
      </c>
      <c r="G86" s="979">
        <f t="shared" si="17"/>
        <v>51689.5</v>
      </c>
      <c r="H86" s="979">
        <f t="shared" si="17"/>
        <v>46248.5</v>
      </c>
      <c r="I86" s="979">
        <f t="shared" si="17"/>
        <v>40807.5</v>
      </c>
      <c r="J86" s="979">
        <f t="shared" si="17"/>
        <v>35366.5</v>
      </c>
      <c r="K86" s="979">
        <f t="shared" si="17"/>
        <v>29925.5</v>
      </c>
      <c r="L86" s="979">
        <f t="shared" si="17"/>
        <v>24484.5</v>
      </c>
      <c r="M86" s="979">
        <f t="shared" si="17"/>
        <v>13602.5</v>
      </c>
      <c r="N86" s="979">
        <f t="shared" si="17"/>
        <v>0</v>
      </c>
      <c r="O86" s="979">
        <f t="shared" si="17"/>
        <v>0</v>
      </c>
      <c r="P86" s="979">
        <f t="shared" si="17"/>
        <v>0</v>
      </c>
      <c r="Q86" s="979">
        <f t="shared" si="17"/>
        <v>0</v>
      </c>
      <c r="R86" s="979">
        <f t="shared" si="17"/>
        <v>0</v>
      </c>
      <c r="S86" s="979">
        <f t="shared" si="17"/>
        <v>0</v>
      </c>
      <c r="T86" s="979">
        <f t="shared" si="17"/>
        <v>0</v>
      </c>
      <c r="U86" s="979">
        <f t="shared" si="17"/>
        <v>0</v>
      </c>
      <c r="V86" s="979">
        <f t="shared" si="17"/>
        <v>0</v>
      </c>
      <c r="W86" s="979">
        <f t="shared" si="17"/>
        <v>0</v>
      </c>
      <c r="X86" s="979">
        <f t="shared" si="17"/>
        <v>0</v>
      </c>
      <c r="Y86" s="979">
        <f t="shared" si="17"/>
        <v>0</v>
      </c>
      <c r="Z86" s="979">
        <f t="shared" si="17"/>
        <v>0</v>
      </c>
      <c r="AA86" s="979">
        <f t="shared" si="17"/>
        <v>0</v>
      </c>
      <c r="AB86" s="979">
        <f t="shared" si="17"/>
        <v>0</v>
      </c>
      <c r="AC86" s="979">
        <f t="shared" si="17"/>
        <v>0</v>
      </c>
    </row>
    <row r="87" spans="1:34" ht="12.6" customHeight="1">
      <c r="A87" s="976" t="s">
        <v>608</v>
      </c>
      <c r="B87" s="977"/>
      <c r="C87" s="988">
        <f>SUMPRODUCT(E84:AC84,E79:AC79)/SUM(E84:AC84)</f>
        <v>7.45</v>
      </c>
      <c r="E87" s="984"/>
      <c r="F87" s="979"/>
      <c r="G87" s="979"/>
      <c r="H87" s="979"/>
      <c r="I87" s="979"/>
      <c r="J87" s="979"/>
      <c r="K87" s="979"/>
      <c r="L87" s="979"/>
      <c r="M87" s="979"/>
      <c r="N87" s="979"/>
      <c r="O87" s="979"/>
      <c r="P87" s="979"/>
      <c r="Q87" s="979"/>
      <c r="R87" s="979"/>
      <c r="S87" s="979"/>
      <c r="T87" s="979"/>
      <c r="U87" s="979"/>
      <c r="V87" s="979"/>
      <c r="W87" s="979"/>
      <c r="X87" s="979"/>
      <c r="Y87" s="979"/>
      <c r="Z87" s="979"/>
      <c r="AA87" s="979"/>
      <c r="AB87" s="979"/>
      <c r="AC87" s="979"/>
    </row>
    <row r="88" spans="1:34" ht="12.6" customHeight="1">
      <c r="B88" s="699"/>
      <c r="C88" s="985" t="s">
        <v>609</v>
      </c>
      <c r="D88" s="986">
        <f>SUM(E88:AC88)</f>
        <v>1</v>
      </c>
      <c r="E88" s="987">
        <v>0</v>
      </c>
      <c r="F88" s="987">
        <v>0</v>
      </c>
      <c r="G88" s="987">
        <v>0.05</v>
      </c>
      <c r="H88" s="987">
        <v>0.1</v>
      </c>
      <c r="I88" s="987">
        <v>0.1</v>
      </c>
      <c r="J88" s="987">
        <v>0.1</v>
      </c>
      <c r="K88" s="987">
        <v>0.1</v>
      </c>
      <c r="L88" s="987">
        <v>0.1</v>
      </c>
      <c r="M88" s="987">
        <v>0.2</v>
      </c>
      <c r="N88" s="987">
        <v>0.25</v>
      </c>
      <c r="O88" s="987">
        <v>0</v>
      </c>
      <c r="P88" s="987">
        <v>0</v>
      </c>
      <c r="Q88" s="987">
        <v>0</v>
      </c>
      <c r="R88" s="987">
        <v>0</v>
      </c>
      <c r="S88" s="987">
        <v>0</v>
      </c>
      <c r="T88" s="987">
        <v>0</v>
      </c>
      <c r="U88" s="987">
        <v>0</v>
      </c>
      <c r="V88" s="987">
        <v>0</v>
      </c>
      <c r="W88" s="987">
        <v>0</v>
      </c>
      <c r="X88" s="987">
        <v>0</v>
      </c>
      <c r="Y88" s="987">
        <v>0</v>
      </c>
      <c r="Z88" s="987">
        <v>0</v>
      </c>
      <c r="AA88" s="987">
        <v>0</v>
      </c>
      <c r="AB88" s="987">
        <v>0</v>
      </c>
      <c r="AC88" s="987">
        <v>0</v>
      </c>
    </row>
    <row r="89" spans="1:34" ht="12.6" customHeight="1"/>
    <row r="90" spans="1:34" ht="12.6" customHeight="1">
      <c r="A90" s="28" t="s">
        <v>611</v>
      </c>
    </row>
    <row r="91" spans="1:34" ht="12.6" customHeight="1">
      <c r="A91" s="455" t="s">
        <v>601</v>
      </c>
      <c r="B91" s="970">
        <f>principal3</f>
        <v>98814</v>
      </c>
    </row>
    <row r="92" spans="1:34" s="36" customFormat="1" ht="12.6" customHeight="1">
      <c r="A92" s="456" t="s">
        <v>207</v>
      </c>
      <c r="B92" s="971">
        <f>_Int3</f>
        <v>8.1799999999999998E-2</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row>
    <row r="93" spans="1:34" s="36" customFormat="1" ht="12.6" customHeight="1">
      <c r="A93" s="673" t="s">
        <v>190</v>
      </c>
      <c r="B93" s="674">
        <f>term3</f>
        <v>20</v>
      </c>
      <c r="C93" s="27"/>
      <c r="D93" s="27"/>
      <c r="E93" s="972">
        <f>E4</f>
        <v>1</v>
      </c>
      <c r="F93" s="972">
        <f t="shared" ref="F93:AC93" si="18">F4</f>
        <v>2</v>
      </c>
      <c r="G93" s="972">
        <f t="shared" si="18"/>
        <v>3</v>
      </c>
      <c r="H93" s="972">
        <f t="shared" si="18"/>
        <v>4</v>
      </c>
      <c r="I93" s="972">
        <f t="shared" si="18"/>
        <v>5</v>
      </c>
      <c r="J93" s="972">
        <f t="shared" si="18"/>
        <v>6</v>
      </c>
      <c r="K93" s="972">
        <f t="shared" si="18"/>
        <v>7</v>
      </c>
      <c r="L93" s="972">
        <f t="shared" si="18"/>
        <v>8</v>
      </c>
      <c r="M93" s="972">
        <f t="shared" si="18"/>
        <v>9</v>
      </c>
      <c r="N93" s="972">
        <f t="shared" si="18"/>
        <v>10</v>
      </c>
      <c r="O93" s="972">
        <f t="shared" si="18"/>
        <v>11</v>
      </c>
      <c r="P93" s="972">
        <f t="shared" si="18"/>
        <v>12</v>
      </c>
      <c r="Q93" s="972">
        <f t="shared" si="18"/>
        <v>13</v>
      </c>
      <c r="R93" s="972">
        <f t="shared" si="18"/>
        <v>14</v>
      </c>
      <c r="S93" s="972">
        <f t="shared" si="18"/>
        <v>15</v>
      </c>
      <c r="T93" s="972">
        <f t="shared" si="18"/>
        <v>16</v>
      </c>
      <c r="U93" s="972">
        <f t="shared" si="18"/>
        <v>17</v>
      </c>
      <c r="V93" s="972">
        <f t="shared" si="18"/>
        <v>18</v>
      </c>
      <c r="W93" s="972">
        <f t="shared" si="18"/>
        <v>19</v>
      </c>
      <c r="X93" s="972">
        <f t="shared" si="18"/>
        <v>20</v>
      </c>
      <c r="Y93" s="972">
        <f t="shared" si="18"/>
        <v>21</v>
      </c>
      <c r="Z93" s="972">
        <f t="shared" si="18"/>
        <v>22</v>
      </c>
      <c r="AA93" s="972">
        <f t="shared" si="18"/>
        <v>23</v>
      </c>
      <c r="AB93" s="972">
        <f t="shared" si="18"/>
        <v>24</v>
      </c>
      <c r="AC93" s="972">
        <f t="shared" si="18"/>
        <v>25</v>
      </c>
      <c r="AD93" s="27"/>
      <c r="AE93" s="27"/>
      <c r="AF93" s="27"/>
      <c r="AG93" s="27"/>
      <c r="AH93" s="27"/>
    </row>
    <row r="94" spans="1:34">
      <c r="A94" s="58"/>
      <c r="B94" s="58"/>
      <c r="C94" s="28" t="s">
        <v>602</v>
      </c>
      <c r="E94" s="972">
        <f>E5</f>
        <v>2000</v>
      </c>
      <c r="F94" s="972">
        <f t="shared" ref="F94:AC94" si="19">F5</f>
        <v>2001</v>
      </c>
      <c r="G94" s="972">
        <f t="shared" si="19"/>
        <v>2002</v>
      </c>
      <c r="H94" s="972">
        <f t="shared" si="19"/>
        <v>2003</v>
      </c>
      <c r="I94" s="972">
        <f t="shared" si="19"/>
        <v>2004</v>
      </c>
      <c r="J94" s="972">
        <f t="shared" si="19"/>
        <v>2005</v>
      </c>
      <c r="K94" s="972">
        <f t="shared" si="19"/>
        <v>2006</v>
      </c>
      <c r="L94" s="972">
        <f t="shared" si="19"/>
        <v>2007</v>
      </c>
      <c r="M94" s="972">
        <f t="shared" si="19"/>
        <v>2008</v>
      </c>
      <c r="N94" s="972">
        <f t="shared" si="19"/>
        <v>2009</v>
      </c>
      <c r="O94" s="972">
        <f t="shared" si="19"/>
        <v>2010</v>
      </c>
      <c r="P94" s="972">
        <f t="shared" si="19"/>
        <v>2011</v>
      </c>
      <c r="Q94" s="972">
        <f t="shared" si="19"/>
        <v>2012</v>
      </c>
      <c r="R94" s="972">
        <f t="shared" si="19"/>
        <v>2013</v>
      </c>
      <c r="S94" s="972">
        <f t="shared" si="19"/>
        <v>2014</v>
      </c>
      <c r="T94" s="972">
        <f t="shared" si="19"/>
        <v>2015</v>
      </c>
      <c r="U94" s="972">
        <f t="shared" si="19"/>
        <v>2016</v>
      </c>
      <c r="V94" s="972">
        <f t="shared" si="19"/>
        <v>2017</v>
      </c>
      <c r="W94" s="972">
        <f t="shared" si="19"/>
        <v>2018</v>
      </c>
      <c r="X94" s="972">
        <f t="shared" si="19"/>
        <v>2019</v>
      </c>
      <c r="Y94" s="972">
        <f t="shared" si="19"/>
        <v>2020</v>
      </c>
      <c r="Z94" s="972">
        <f t="shared" si="19"/>
        <v>2021</v>
      </c>
      <c r="AA94" s="972">
        <f t="shared" si="19"/>
        <v>2022</v>
      </c>
      <c r="AB94" s="972">
        <f t="shared" si="19"/>
        <v>2023</v>
      </c>
      <c r="AC94" s="972">
        <f t="shared" si="19"/>
        <v>2024</v>
      </c>
    </row>
    <row r="95" spans="1:34">
      <c r="A95" s="973" t="s">
        <v>111</v>
      </c>
      <c r="B95" s="974"/>
      <c r="C95" s="974"/>
      <c r="E95" s="974"/>
      <c r="F95" s="975"/>
      <c r="G95" s="975"/>
      <c r="H95" s="975"/>
      <c r="I95" s="975"/>
      <c r="J95" s="975"/>
      <c r="K95" s="975"/>
      <c r="L95" s="975"/>
      <c r="M95" s="975"/>
      <c r="N95" s="975"/>
      <c r="O95" s="975"/>
      <c r="P95" s="975"/>
      <c r="Q95" s="975"/>
      <c r="R95" s="975"/>
      <c r="S95" s="975"/>
      <c r="T95" s="975"/>
    </row>
    <row r="96" spans="1:34">
      <c r="A96" s="976" t="s">
        <v>603</v>
      </c>
      <c r="B96" s="977"/>
      <c r="C96" s="978">
        <f>B91</f>
        <v>98814</v>
      </c>
      <c r="D96" s="36"/>
      <c r="E96" s="979">
        <f>C96</f>
        <v>98814</v>
      </c>
      <c r="F96" s="979">
        <f t="shared" ref="F96:AC96" si="20">E100</f>
        <v>98814</v>
      </c>
      <c r="G96" s="979">
        <f t="shared" si="20"/>
        <v>98814</v>
      </c>
      <c r="H96" s="979">
        <f t="shared" si="20"/>
        <v>98814</v>
      </c>
      <c r="I96" s="979">
        <f t="shared" si="20"/>
        <v>98814</v>
      </c>
      <c r="J96" s="979">
        <f t="shared" si="20"/>
        <v>96837.72</v>
      </c>
      <c r="K96" s="979">
        <f t="shared" si="20"/>
        <v>94861.440000000002</v>
      </c>
      <c r="L96" s="979">
        <f t="shared" si="20"/>
        <v>91897.02</v>
      </c>
      <c r="M96" s="979">
        <f t="shared" si="20"/>
        <v>88932.6</v>
      </c>
      <c r="N96" s="979">
        <f t="shared" si="20"/>
        <v>85968.180000000008</v>
      </c>
      <c r="O96" s="979">
        <f t="shared" si="20"/>
        <v>82015.62000000001</v>
      </c>
      <c r="P96" s="979">
        <f t="shared" si="20"/>
        <v>78063.060000000012</v>
      </c>
      <c r="Q96" s="979">
        <f t="shared" si="20"/>
        <v>73122.360000000015</v>
      </c>
      <c r="R96" s="979">
        <f t="shared" si="20"/>
        <v>68181.660000000018</v>
      </c>
      <c r="S96" s="979">
        <f t="shared" si="20"/>
        <v>63240.960000000021</v>
      </c>
      <c r="T96" s="979">
        <f t="shared" si="20"/>
        <v>58300.260000000024</v>
      </c>
      <c r="U96" s="979">
        <f t="shared" si="20"/>
        <v>53359.560000000027</v>
      </c>
      <c r="V96" s="979">
        <f t="shared" si="20"/>
        <v>43478.160000000025</v>
      </c>
      <c r="W96" s="979">
        <f t="shared" si="20"/>
        <v>31620.480000000025</v>
      </c>
      <c r="X96" s="979">
        <f t="shared" si="20"/>
        <v>16798.380000000026</v>
      </c>
      <c r="Y96" s="979">
        <f t="shared" si="20"/>
        <v>0</v>
      </c>
      <c r="Z96" s="979">
        <f t="shared" si="20"/>
        <v>0</v>
      </c>
      <c r="AA96" s="979">
        <f t="shared" si="20"/>
        <v>0</v>
      </c>
      <c r="AB96" s="979">
        <f t="shared" si="20"/>
        <v>0</v>
      </c>
      <c r="AC96" s="979">
        <f t="shared" si="20"/>
        <v>0</v>
      </c>
    </row>
    <row r="97" spans="1:34">
      <c r="A97" s="976" t="s">
        <v>604</v>
      </c>
      <c r="B97" s="980"/>
      <c r="C97" s="979"/>
      <c r="D97" s="36"/>
      <c r="E97" s="979">
        <f>E96*$B$92</f>
        <v>8082.9852000000001</v>
      </c>
      <c r="F97" s="979">
        <f t="shared" ref="F97:AC97" si="21">F96*$B$92</f>
        <v>8082.9852000000001</v>
      </c>
      <c r="G97" s="979">
        <f t="shared" si="21"/>
        <v>8082.9852000000001</v>
      </c>
      <c r="H97" s="979">
        <f t="shared" si="21"/>
        <v>8082.9852000000001</v>
      </c>
      <c r="I97" s="979">
        <f t="shared" si="21"/>
        <v>8082.9852000000001</v>
      </c>
      <c r="J97" s="979">
        <f t="shared" si="21"/>
        <v>7921.3254959999995</v>
      </c>
      <c r="K97" s="979">
        <f t="shared" si="21"/>
        <v>7759.6657919999998</v>
      </c>
      <c r="L97" s="979">
        <f t="shared" si="21"/>
        <v>7517.1762360000002</v>
      </c>
      <c r="M97" s="979">
        <f t="shared" si="21"/>
        <v>7274.6866800000007</v>
      </c>
      <c r="N97" s="979">
        <f t="shared" si="21"/>
        <v>7032.1971240000003</v>
      </c>
      <c r="O97" s="979">
        <f t="shared" si="21"/>
        <v>6708.8777160000009</v>
      </c>
      <c r="P97" s="979">
        <f t="shared" si="21"/>
        <v>6385.5583080000006</v>
      </c>
      <c r="Q97" s="979">
        <f t="shared" si="21"/>
        <v>5981.4090480000013</v>
      </c>
      <c r="R97" s="979">
        <f t="shared" si="21"/>
        <v>5577.2597880000012</v>
      </c>
      <c r="S97" s="979">
        <f t="shared" si="21"/>
        <v>5173.110528000002</v>
      </c>
      <c r="T97" s="979">
        <f t="shared" si="21"/>
        <v>4768.9612680000018</v>
      </c>
      <c r="U97" s="979">
        <f t="shared" si="21"/>
        <v>4364.8120080000017</v>
      </c>
      <c r="V97" s="979">
        <f t="shared" si="21"/>
        <v>3556.5134880000019</v>
      </c>
      <c r="W97" s="979">
        <f t="shared" si="21"/>
        <v>2586.5552640000019</v>
      </c>
      <c r="X97" s="979">
        <f t="shared" si="21"/>
        <v>1374.1074840000022</v>
      </c>
      <c r="Y97" s="979">
        <f t="shared" si="21"/>
        <v>0</v>
      </c>
      <c r="Z97" s="979">
        <f t="shared" si="21"/>
        <v>0</v>
      </c>
      <c r="AA97" s="979">
        <f t="shared" si="21"/>
        <v>0</v>
      </c>
      <c r="AB97" s="979">
        <f t="shared" si="21"/>
        <v>0</v>
      </c>
      <c r="AC97" s="979">
        <f t="shared" si="21"/>
        <v>0</v>
      </c>
    </row>
    <row r="98" spans="1:34">
      <c r="A98" s="976" t="s">
        <v>605</v>
      </c>
      <c r="B98" s="977"/>
      <c r="C98" s="979"/>
      <c r="E98" s="981">
        <f>$C$96*E102</f>
        <v>0</v>
      </c>
      <c r="F98" s="981">
        <f t="shared" ref="F98:AC98" si="22">$C$96*F102</f>
        <v>0</v>
      </c>
      <c r="G98" s="981">
        <f t="shared" si="22"/>
        <v>0</v>
      </c>
      <c r="H98" s="981">
        <f t="shared" si="22"/>
        <v>0</v>
      </c>
      <c r="I98" s="981">
        <f t="shared" si="22"/>
        <v>1976.28</v>
      </c>
      <c r="J98" s="981">
        <f t="shared" si="22"/>
        <v>1976.28</v>
      </c>
      <c r="K98" s="981">
        <f t="shared" si="22"/>
        <v>2964.42</v>
      </c>
      <c r="L98" s="981">
        <f t="shared" si="22"/>
        <v>2964.42</v>
      </c>
      <c r="M98" s="981">
        <f t="shared" si="22"/>
        <v>2964.42</v>
      </c>
      <c r="N98" s="981">
        <f t="shared" si="22"/>
        <v>3952.56</v>
      </c>
      <c r="O98" s="981">
        <f t="shared" si="22"/>
        <v>3952.56</v>
      </c>
      <c r="P98" s="981">
        <f t="shared" si="22"/>
        <v>4940.7000000000007</v>
      </c>
      <c r="Q98" s="981">
        <f t="shared" si="22"/>
        <v>4940.7000000000007</v>
      </c>
      <c r="R98" s="981">
        <f t="shared" si="22"/>
        <v>4940.7000000000007</v>
      </c>
      <c r="S98" s="981">
        <f t="shared" si="22"/>
        <v>4940.7000000000007</v>
      </c>
      <c r="T98" s="981">
        <f t="shared" si="22"/>
        <v>4940.7000000000007</v>
      </c>
      <c r="U98" s="981">
        <f t="shared" si="22"/>
        <v>9881.4000000000015</v>
      </c>
      <c r="V98" s="981">
        <f t="shared" si="22"/>
        <v>11857.68</v>
      </c>
      <c r="W98" s="981">
        <f t="shared" si="22"/>
        <v>14822.099999999999</v>
      </c>
      <c r="X98" s="981">
        <f t="shared" si="22"/>
        <v>16798.38</v>
      </c>
      <c r="Y98" s="981">
        <f t="shared" si="22"/>
        <v>0</v>
      </c>
      <c r="Z98" s="981">
        <f t="shared" si="22"/>
        <v>0</v>
      </c>
      <c r="AA98" s="981">
        <f t="shared" si="22"/>
        <v>0</v>
      </c>
      <c r="AB98" s="981">
        <f t="shared" si="22"/>
        <v>0</v>
      </c>
      <c r="AC98" s="981">
        <f t="shared" si="22"/>
        <v>0</v>
      </c>
    </row>
    <row r="99" spans="1:34">
      <c r="A99" s="976" t="s">
        <v>606</v>
      </c>
      <c r="B99" s="977"/>
      <c r="C99" s="982"/>
      <c r="E99" s="982">
        <f t="shared" ref="E99:AC99" si="23">E98+E97</f>
        <v>8082.9852000000001</v>
      </c>
      <c r="F99" s="982">
        <f t="shared" si="23"/>
        <v>8082.9852000000001</v>
      </c>
      <c r="G99" s="982">
        <f t="shared" si="23"/>
        <v>8082.9852000000001</v>
      </c>
      <c r="H99" s="982">
        <f t="shared" si="23"/>
        <v>8082.9852000000001</v>
      </c>
      <c r="I99" s="982">
        <f t="shared" si="23"/>
        <v>10059.2652</v>
      </c>
      <c r="J99" s="982">
        <f t="shared" si="23"/>
        <v>9897.6054960000001</v>
      </c>
      <c r="K99" s="982">
        <f t="shared" si="23"/>
        <v>10724.085792</v>
      </c>
      <c r="L99" s="982">
        <f t="shared" si="23"/>
        <v>10481.596236000001</v>
      </c>
      <c r="M99" s="982">
        <f t="shared" si="23"/>
        <v>10239.106680000001</v>
      </c>
      <c r="N99" s="982">
        <f t="shared" si="23"/>
        <v>10984.757124</v>
      </c>
      <c r="O99" s="982">
        <f t="shared" si="23"/>
        <v>10661.437716</v>
      </c>
      <c r="P99" s="982">
        <f t="shared" si="23"/>
        <v>11326.258308</v>
      </c>
      <c r="Q99" s="982">
        <f t="shared" si="23"/>
        <v>10922.109048000002</v>
      </c>
      <c r="R99" s="982">
        <f t="shared" si="23"/>
        <v>10517.959788000002</v>
      </c>
      <c r="S99" s="982">
        <f t="shared" si="23"/>
        <v>10113.810528000002</v>
      </c>
      <c r="T99" s="982">
        <f t="shared" si="23"/>
        <v>9709.6612680000035</v>
      </c>
      <c r="U99" s="982">
        <f t="shared" si="23"/>
        <v>14246.212008000002</v>
      </c>
      <c r="V99" s="982">
        <f t="shared" si="23"/>
        <v>15414.193488000003</v>
      </c>
      <c r="W99" s="982">
        <f t="shared" si="23"/>
        <v>17408.655264000001</v>
      </c>
      <c r="X99" s="982">
        <f t="shared" si="23"/>
        <v>18172.487484000005</v>
      </c>
      <c r="Y99" s="982">
        <f t="shared" si="23"/>
        <v>0</v>
      </c>
      <c r="Z99" s="982">
        <f t="shared" si="23"/>
        <v>0</v>
      </c>
      <c r="AA99" s="982">
        <f t="shared" si="23"/>
        <v>0</v>
      </c>
      <c r="AB99" s="982">
        <f t="shared" si="23"/>
        <v>0</v>
      </c>
      <c r="AC99" s="982">
        <f t="shared" si="23"/>
        <v>0</v>
      </c>
    </row>
    <row r="100" spans="1:34">
      <c r="A100" s="976" t="s">
        <v>607</v>
      </c>
      <c r="B100" s="977"/>
      <c r="C100" s="979"/>
      <c r="E100" s="979">
        <f t="shared" ref="E100:AC100" si="24">E96-E98</f>
        <v>98814</v>
      </c>
      <c r="F100" s="979">
        <f t="shared" si="24"/>
        <v>98814</v>
      </c>
      <c r="G100" s="979">
        <f t="shared" si="24"/>
        <v>98814</v>
      </c>
      <c r="H100" s="979">
        <f t="shared" si="24"/>
        <v>98814</v>
      </c>
      <c r="I100" s="979">
        <f t="shared" si="24"/>
        <v>96837.72</v>
      </c>
      <c r="J100" s="979">
        <f t="shared" si="24"/>
        <v>94861.440000000002</v>
      </c>
      <c r="K100" s="979">
        <f t="shared" si="24"/>
        <v>91897.02</v>
      </c>
      <c r="L100" s="979">
        <f t="shared" si="24"/>
        <v>88932.6</v>
      </c>
      <c r="M100" s="979">
        <f t="shared" si="24"/>
        <v>85968.180000000008</v>
      </c>
      <c r="N100" s="979">
        <f t="shared" si="24"/>
        <v>82015.62000000001</v>
      </c>
      <c r="O100" s="979">
        <f t="shared" si="24"/>
        <v>78063.060000000012</v>
      </c>
      <c r="P100" s="979">
        <f t="shared" si="24"/>
        <v>73122.360000000015</v>
      </c>
      <c r="Q100" s="979">
        <f t="shared" si="24"/>
        <v>68181.660000000018</v>
      </c>
      <c r="R100" s="979">
        <f t="shared" si="24"/>
        <v>63240.960000000021</v>
      </c>
      <c r="S100" s="979">
        <f t="shared" si="24"/>
        <v>58300.260000000024</v>
      </c>
      <c r="T100" s="979">
        <f t="shared" si="24"/>
        <v>53359.560000000027</v>
      </c>
      <c r="U100" s="979">
        <f t="shared" si="24"/>
        <v>43478.160000000025</v>
      </c>
      <c r="V100" s="979">
        <f t="shared" si="24"/>
        <v>31620.480000000025</v>
      </c>
      <c r="W100" s="979">
        <f t="shared" si="24"/>
        <v>16798.380000000026</v>
      </c>
      <c r="X100" s="979">
        <f t="shared" si="24"/>
        <v>0</v>
      </c>
      <c r="Y100" s="979">
        <f t="shared" si="24"/>
        <v>0</v>
      </c>
      <c r="Z100" s="979">
        <f t="shared" si="24"/>
        <v>0</v>
      </c>
      <c r="AA100" s="979">
        <f t="shared" si="24"/>
        <v>0</v>
      </c>
      <c r="AB100" s="979">
        <f t="shared" si="24"/>
        <v>0</v>
      </c>
      <c r="AC100" s="979">
        <f t="shared" si="24"/>
        <v>0</v>
      </c>
    </row>
    <row r="101" spans="1:34" s="36" customFormat="1" ht="12.6" customHeight="1">
      <c r="A101" s="976" t="s">
        <v>608</v>
      </c>
      <c r="B101" s="977"/>
      <c r="C101" s="989">
        <f>SUMPRODUCT(E98:AC98,E93:AC93)/SUM(E98:AC98)</f>
        <v>15.390000000000002</v>
      </c>
      <c r="D101" s="27"/>
      <c r="E101" s="984"/>
      <c r="F101" s="979"/>
      <c r="G101" s="979"/>
      <c r="H101" s="979"/>
      <c r="I101" s="979"/>
      <c r="J101" s="979"/>
      <c r="K101" s="979"/>
      <c r="L101" s="979"/>
      <c r="M101" s="979"/>
      <c r="N101" s="979"/>
      <c r="O101" s="979"/>
      <c r="P101" s="979"/>
      <c r="Q101" s="979"/>
      <c r="R101" s="979"/>
      <c r="S101" s="979"/>
      <c r="T101" s="979"/>
      <c r="U101" s="979"/>
      <c r="V101" s="979"/>
      <c r="W101" s="979"/>
      <c r="X101" s="979"/>
      <c r="Y101" s="979"/>
      <c r="Z101" s="979"/>
      <c r="AA101" s="979"/>
      <c r="AB101" s="979"/>
      <c r="AC101" s="979"/>
      <c r="AD101" s="27"/>
      <c r="AE101" s="27"/>
      <c r="AF101" s="27"/>
      <c r="AG101" s="27"/>
      <c r="AH101" s="27"/>
    </row>
    <row r="102" spans="1:34" s="705" customFormat="1">
      <c r="A102" s="27"/>
      <c r="B102" s="699"/>
      <c r="C102" s="985" t="s">
        <v>609</v>
      </c>
      <c r="D102" s="986">
        <f>SUM(E102:AC102)</f>
        <v>1</v>
      </c>
      <c r="E102" s="987">
        <v>0</v>
      </c>
      <c r="F102" s="987">
        <v>0</v>
      </c>
      <c r="G102" s="987">
        <v>0</v>
      </c>
      <c r="H102" s="987">
        <v>0</v>
      </c>
      <c r="I102" s="987">
        <v>0.02</v>
      </c>
      <c r="J102" s="987">
        <v>0.02</v>
      </c>
      <c r="K102" s="987">
        <v>0.03</v>
      </c>
      <c r="L102" s="987">
        <v>0.03</v>
      </c>
      <c r="M102" s="987">
        <v>0.03</v>
      </c>
      <c r="N102" s="987">
        <v>0.04</v>
      </c>
      <c r="O102" s="987">
        <v>0.04</v>
      </c>
      <c r="P102" s="987">
        <v>0.05</v>
      </c>
      <c r="Q102" s="987">
        <v>0.05</v>
      </c>
      <c r="R102" s="987">
        <v>0.05</v>
      </c>
      <c r="S102" s="987">
        <v>0.05</v>
      </c>
      <c r="T102" s="987">
        <v>0.05</v>
      </c>
      <c r="U102" s="987">
        <v>0.1</v>
      </c>
      <c r="V102" s="987">
        <v>0.12</v>
      </c>
      <c r="W102" s="987">
        <v>0.15</v>
      </c>
      <c r="X102" s="987">
        <v>0.17</v>
      </c>
      <c r="Y102" s="987">
        <v>0</v>
      </c>
      <c r="Z102" s="987">
        <v>0</v>
      </c>
      <c r="AA102" s="987">
        <v>0</v>
      </c>
      <c r="AB102" s="987">
        <v>0</v>
      </c>
      <c r="AC102" s="987">
        <v>0</v>
      </c>
      <c r="AD102" s="27"/>
      <c r="AE102" s="27"/>
      <c r="AF102" s="27"/>
      <c r="AG102" s="27"/>
      <c r="AH102" s="27"/>
    </row>
    <row r="103" spans="1:34" s="705" customForma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row>
    <row r="104" spans="1:34" s="705" customForma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row>
    <row r="105" spans="1:34" s="705" customForma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row>
    <row r="106" spans="1:34" s="705" customForma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row>
    <row r="107" spans="1:34" s="705" customFormat="1" ht="12.6"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row>
    <row r="108" spans="1:34" s="705" customFormat="1" ht="12.6"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row>
    <row r="109" spans="1:34" ht="12.6" customHeight="1"/>
    <row r="110" spans="1:34" ht="12.6" customHeight="1"/>
    <row r="111" spans="1:34" ht="12.6" customHeight="1"/>
    <row r="112" spans="1:34" ht="12.6" customHeight="1"/>
    <row r="113" spans="1:45" ht="12.6" customHeight="1"/>
    <row r="114" spans="1:45" ht="12.6" customHeight="1"/>
    <row r="115" spans="1:45" ht="12.6" customHeight="1"/>
    <row r="116" spans="1:45" ht="12.6" customHeight="1"/>
    <row r="117" spans="1:45" s="36" customFormat="1" ht="12.6" customHeight="1">
      <c r="A117" s="39"/>
      <c r="D117" s="773"/>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53"/>
      <c r="AA117" s="353"/>
      <c r="AB117" s="353"/>
      <c r="AC117" s="353"/>
    </row>
    <row r="118" spans="1:45" s="36" customFormat="1" ht="12.6" customHeight="1">
      <c r="A118" s="34"/>
      <c r="D118" s="353"/>
      <c r="E118" s="353"/>
      <c r="F118" s="353"/>
      <c r="G118" s="353"/>
      <c r="H118" s="353"/>
      <c r="I118" s="353"/>
      <c r="J118" s="353"/>
      <c r="K118" s="353"/>
      <c r="L118" s="353"/>
      <c r="M118" s="353"/>
      <c r="N118" s="353"/>
      <c r="O118" s="353"/>
      <c r="P118" s="353"/>
      <c r="Q118" s="353"/>
      <c r="R118" s="353"/>
      <c r="S118" s="353"/>
      <c r="T118" s="353"/>
      <c r="U118" s="353"/>
      <c r="V118" s="353"/>
      <c r="W118" s="353"/>
      <c r="X118" s="353"/>
      <c r="Y118" s="353"/>
      <c r="Z118" s="353"/>
      <c r="AA118" s="353"/>
      <c r="AB118" s="353"/>
      <c r="AC118" s="353"/>
    </row>
    <row r="119" spans="1:45" s="36" customFormat="1" ht="12.6" customHeight="1">
      <c r="A119" s="39"/>
      <c r="D119" s="353"/>
      <c r="E119" s="774"/>
      <c r="F119" s="774"/>
      <c r="G119" s="774"/>
      <c r="H119" s="774"/>
      <c r="I119" s="774"/>
      <c r="J119" s="774"/>
      <c r="K119" s="774"/>
      <c r="L119" s="774"/>
      <c r="M119" s="774"/>
      <c r="N119" s="774"/>
      <c r="O119" s="774"/>
      <c r="P119" s="774"/>
      <c r="Q119" s="774"/>
      <c r="R119" s="774"/>
      <c r="S119" s="774"/>
      <c r="T119" s="774"/>
      <c r="U119" s="774"/>
      <c r="V119" s="774"/>
      <c r="W119" s="774"/>
      <c r="X119" s="774"/>
      <c r="Y119" s="774"/>
      <c r="Z119" s="774"/>
      <c r="AA119" s="774"/>
      <c r="AB119" s="774"/>
      <c r="AC119" s="774"/>
      <c r="AD119" s="774"/>
      <c r="AE119" s="774"/>
      <c r="AF119" s="774"/>
      <c r="AG119" s="774"/>
      <c r="AH119" s="774"/>
      <c r="AI119" s="774"/>
      <c r="AJ119" s="774"/>
      <c r="AK119" s="774"/>
      <c r="AL119" s="774"/>
      <c r="AM119" s="774"/>
      <c r="AN119" s="774"/>
      <c r="AO119" s="774"/>
      <c r="AP119" s="774"/>
      <c r="AQ119" s="774"/>
      <c r="AR119" s="774"/>
      <c r="AS119" s="774"/>
    </row>
    <row r="120" spans="1:45" s="36" customFormat="1" ht="12.6" customHeight="1">
      <c r="A120" s="39"/>
      <c r="D120" s="353"/>
      <c r="E120" s="775"/>
      <c r="F120" s="775"/>
      <c r="G120" s="775"/>
      <c r="H120" s="775"/>
      <c r="I120" s="775"/>
      <c r="J120" s="775"/>
      <c r="K120" s="775"/>
      <c r="L120" s="775"/>
      <c r="M120" s="775"/>
      <c r="N120" s="775"/>
      <c r="O120" s="775"/>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row>
    <row r="121" spans="1:45" s="36" customFormat="1" ht="12.6" customHeight="1">
      <c r="A121" s="39"/>
      <c r="D121" s="353"/>
      <c r="E121" s="353"/>
      <c r="F121" s="353"/>
      <c r="G121" s="353"/>
      <c r="H121" s="353"/>
      <c r="I121" s="353"/>
      <c r="J121" s="353"/>
      <c r="K121" s="353"/>
      <c r="L121" s="353"/>
      <c r="M121" s="353"/>
      <c r="N121" s="353"/>
      <c r="O121" s="353"/>
      <c r="P121" s="353"/>
      <c r="Q121" s="353"/>
      <c r="R121" s="353"/>
      <c r="S121" s="353"/>
      <c r="T121" s="353"/>
      <c r="U121" s="353"/>
      <c r="V121" s="353"/>
      <c r="W121" s="353"/>
      <c r="X121" s="353"/>
      <c r="Y121" s="353"/>
      <c r="Z121" s="353"/>
      <c r="AA121" s="353"/>
      <c r="AB121" s="353"/>
      <c r="AC121" s="353"/>
      <c r="AD121" s="353"/>
      <c r="AE121" s="353"/>
      <c r="AF121" s="353"/>
      <c r="AG121" s="353"/>
      <c r="AH121" s="353"/>
      <c r="AI121" s="353"/>
      <c r="AJ121" s="353"/>
      <c r="AK121" s="353"/>
      <c r="AL121" s="353"/>
      <c r="AM121" s="353"/>
      <c r="AN121" s="353"/>
      <c r="AO121" s="353"/>
      <c r="AP121" s="353"/>
      <c r="AQ121" s="353"/>
      <c r="AR121" s="353"/>
      <c r="AS121" s="353"/>
    </row>
    <row r="122" spans="1:45" s="36" customFormat="1" ht="12.6" customHeight="1">
      <c r="A122" s="39"/>
      <c r="B122" s="776"/>
      <c r="C122" s="776"/>
      <c r="D122" s="353"/>
      <c r="E122" s="353"/>
      <c r="F122" s="353"/>
      <c r="G122" s="353"/>
      <c r="H122" s="353"/>
      <c r="I122" s="353"/>
      <c r="J122" s="353"/>
      <c r="K122" s="353"/>
      <c r="L122" s="353"/>
      <c r="M122" s="353"/>
      <c r="N122" s="353"/>
      <c r="O122" s="353"/>
      <c r="P122" s="353"/>
      <c r="Q122" s="353"/>
      <c r="R122" s="353"/>
      <c r="S122" s="353"/>
      <c r="T122" s="353"/>
      <c r="U122" s="353"/>
      <c r="V122" s="353"/>
      <c r="W122" s="353"/>
      <c r="X122" s="353"/>
      <c r="Y122" s="353"/>
      <c r="Z122" s="353"/>
      <c r="AA122" s="353"/>
      <c r="AB122" s="353"/>
      <c r="AC122" s="353"/>
      <c r="AD122" s="353"/>
      <c r="AE122" s="353"/>
      <c r="AF122" s="353"/>
      <c r="AG122" s="353"/>
      <c r="AH122" s="353"/>
      <c r="AI122" s="353"/>
      <c r="AJ122" s="353"/>
      <c r="AK122" s="353"/>
      <c r="AL122" s="353"/>
      <c r="AM122" s="353"/>
      <c r="AN122" s="353"/>
      <c r="AO122" s="353"/>
      <c r="AP122" s="353"/>
      <c r="AQ122" s="353"/>
      <c r="AR122" s="353"/>
      <c r="AS122" s="353"/>
    </row>
    <row r="123" spans="1:45" s="36" customFormat="1" ht="12.6" customHeight="1">
      <c r="A123" s="39"/>
      <c r="D123" s="773"/>
      <c r="E123" s="775"/>
      <c r="F123" s="775"/>
      <c r="G123" s="775"/>
      <c r="H123" s="775"/>
      <c r="I123" s="775"/>
      <c r="J123" s="775"/>
      <c r="K123" s="775"/>
      <c r="L123" s="775"/>
      <c r="M123" s="775"/>
      <c r="N123" s="775"/>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row>
    <row r="124" spans="1:45" s="36" customFormat="1" ht="12.6" customHeight="1">
      <c r="A124" s="39"/>
      <c r="D124" s="353"/>
      <c r="E124" s="353"/>
      <c r="F124" s="353"/>
      <c r="G124" s="353"/>
      <c r="H124" s="353"/>
      <c r="I124" s="353"/>
      <c r="J124" s="353"/>
      <c r="K124" s="353"/>
      <c r="L124" s="353"/>
      <c r="M124" s="353"/>
      <c r="N124" s="353"/>
      <c r="O124" s="353"/>
      <c r="P124" s="353"/>
      <c r="Q124" s="353"/>
      <c r="R124" s="353"/>
      <c r="S124" s="353"/>
      <c r="T124" s="353"/>
      <c r="U124" s="353"/>
      <c r="V124" s="353"/>
      <c r="W124" s="353"/>
      <c r="X124" s="353"/>
      <c r="Y124" s="353"/>
      <c r="Z124" s="353"/>
      <c r="AA124" s="353"/>
      <c r="AB124" s="353"/>
      <c r="AC124" s="353"/>
    </row>
    <row r="125" spans="1:45" s="36" customFormat="1" ht="12.6" customHeight="1">
      <c r="D125" s="353"/>
      <c r="E125" s="353"/>
      <c r="F125" s="353"/>
      <c r="G125" s="353"/>
      <c r="H125" s="353"/>
      <c r="I125" s="353"/>
      <c r="J125" s="353"/>
      <c r="K125" s="353"/>
      <c r="L125" s="353"/>
      <c r="M125" s="353"/>
      <c r="N125" s="353"/>
      <c r="O125" s="353"/>
      <c r="P125" s="353"/>
      <c r="Q125" s="353"/>
      <c r="R125" s="353"/>
      <c r="S125" s="353"/>
      <c r="T125" s="353"/>
      <c r="U125" s="353"/>
      <c r="V125" s="353"/>
      <c r="W125" s="353"/>
      <c r="X125" s="353"/>
      <c r="Y125" s="353"/>
      <c r="Z125" s="353"/>
      <c r="AA125" s="353"/>
      <c r="AB125" s="353"/>
      <c r="AC125" s="353"/>
    </row>
    <row r="126" spans="1:45" s="36" customFormat="1" ht="12.6" customHeight="1">
      <c r="D126" s="353"/>
      <c r="E126" s="353"/>
      <c r="F126" s="353"/>
      <c r="G126" s="353"/>
      <c r="H126" s="353"/>
      <c r="I126" s="353"/>
      <c r="J126" s="353"/>
      <c r="K126" s="353"/>
      <c r="L126" s="353"/>
      <c r="M126" s="353"/>
      <c r="N126" s="353"/>
      <c r="O126" s="353"/>
      <c r="P126" s="353"/>
      <c r="Q126" s="353"/>
      <c r="R126" s="353"/>
      <c r="S126" s="353"/>
      <c r="T126" s="353"/>
      <c r="U126" s="353"/>
      <c r="V126" s="353"/>
      <c r="W126" s="353"/>
      <c r="X126" s="353"/>
      <c r="Y126" s="353"/>
      <c r="Z126" s="353"/>
      <c r="AA126" s="353"/>
      <c r="AB126" s="353"/>
      <c r="AC126" s="353"/>
    </row>
    <row r="127" spans="1:45" s="36" customFormat="1" ht="12.6" customHeight="1">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1"/>
      <headerFooter alignWithMargins="0"/>
    </customSheetView>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2"/>
      <headerFooter alignWithMargins="0">
        <oddFooter>&amp;L&amp;D   &amp;T&amp;RO:\Naes\GenSvcs\TVA\TVA Model\&amp;F
&amp;A &amp;P</oddFooter>
      </headerFooter>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RowHeight="12.75"/>
  <cols>
    <col min="1" max="1" width="41" style="27" customWidth="1"/>
    <col min="2" max="2" width="11.42578125" style="27" customWidth="1"/>
    <col min="3" max="27" width="10.28515625" style="27" bestFit="1" customWidth="1"/>
    <col min="28" max="16384" width="9.140625" style="27"/>
  </cols>
  <sheetData>
    <row r="1" spans="1:52" ht="20.25">
      <c r="A1" s="486" t="str">
        <f>'Project Assumptions'!$A$2</f>
        <v>WILTON CENTER, Will County, IL</v>
      </c>
      <c r="B1" s="535"/>
    </row>
    <row r="2" spans="1:52">
      <c r="A2" s="490" t="s">
        <v>157</v>
      </c>
      <c r="B2" s="536"/>
    </row>
    <row r="3" spans="1:52" s="36" customFormat="1" ht="12.6" customHeight="1">
      <c r="A3" s="37"/>
      <c r="B3" s="27"/>
      <c r="C3" s="36">
        <f>'Book Income Statement'!D4</f>
        <v>1</v>
      </c>
      <c r="D3" s="36">
        <f>'Book Income Statement'!E4</f>
        <v>2</v>
      </c>
      <c r="E3" s="36">
        <f>'Book Income Statement'!F4</f>
        <v>3</v>
      </c>
      <c r="F3" s="36">
        <f>'Book Income Statement'!G4</f>
        <v>4</v>
      </c>
      <c r="G3" s="36">
        <f>'Book Income Statement'!H4</f>
        <v>5</v>
      </c>
      <c r="H3" s="36">
        <f>'Book Income Statement'!I4</f>
        <v>6</v>
      </c>
      <c r="I3" s="35">
        <f>'Book Income Statement'!J4</f>
        <v>7</v>
      </c>
      <c r="J3" s="36">
        <f>'Book Income Statement'!K4</f>
        <v>8</v>
      </c>
      <c r="K3" s="36">
        <f>'Book Income Statement'!L4</f>
        <v>9</v>
      </c>
      <c r="L3" s="36">
        <f>'Book Income Statement'!M4</f>
        <v>10</v>
      </c>
      <c r="M3" s="36">
        <f>'Book Income Statement'!N4</f>
        <v>11</v>
      </c>
      <c r="N3" s="36">
        <f>'Book Income Statement'!O4</f>
        <v>12</v>
      </c>
      <c r="O3" s="35">
        <f>'Book Income Statement'!P4</f>
        <v>13</v>
      </c>
      <c r="P3" s="36">
        <f>'Book Income Statement'!Q4</f>
        <v>14</v>
      </c>
      <c r="Q3" s="36">
        <f>'Book Income Statement'!R4</f>
        <v>15</v>
      </c>
      <c r="R3" s="36">
        <f>'Book Income Statement'!S4</f>
        <v>16</v>
      </c>
      <c r="S3" s="36">
        <f>'Book Income Statement'!T4</f>
        <v>17</v>
      </c>
      <c r="T3" s="36">
        <f>'Book Income Statement'!U4</f>
        <v>18</v>
      </c>
      <c r="U3" s="35">
        <f>'Book Income Statement'!V4</f>
        <v>19</v>
      </c>
      <c r="V3" s="36">
        <f>'Book Income Statement'!W4</f>
        <v>20</v>
      </c>
      <c r="W3" s="36">
        <f>'Book Income Statement'!X4</f>
        <v>21</v>
      </c>
      <c r="X3" s="36">
        <f>'Book Income Statement'!Y4</f>
        <v>22</v>
      </c>
      <c r="Y3" s="36">
        <f>'Book Income Statement'!Z4</f>
        <v>23</v>
      </c>
      <c r="Z3" s="36">
        <f>'Book Income Statement'!AA4</f>
        <v>24</v>
      </c>
      <c r="AA3" s="35">
        <f>'Book Income Statement'!AB4</f>
        <v>25</v>
      </c>
      <c r="AC3" s="38"/>
      <c r="AD3" s="27"/>
    </row>
    <row r="4" spans="1:52" s="36" customFormat="1" ht="12.6" customHeight="1">
      <c r="A4" s="502"/>
      <c r="B4" s="343"/>
      <c r="C4" s="504">
        <f>'Book Income Statement'!D5</f>
        <v>2000</v>
      </c>
      <c r="D4" s="504">
        <f>'Book Income Statement'!E5</f>
        <v>2001</v>
      </c>
      <c r="E4" s="504">
        <f>'Book Income Statement'!F5</f>
        <v>2002</v>
      </c>
      <c r="F4" s="504">
        <f>'Book Income Statement'!G5</f>
        <v>2003</v>
      </c>
      <c r="G4" s="504">
        <f>'Book Income Statement'!H5</f>
        <v>2004</v>
      </c>
      <c r="H4" s="504">
        <f>'Book Income Statement'!I5</f>
        <v>2005</v>
      </c>
      <c r="I4" s="504">
        <f>'Book Income Statement'!J5</f>
        <v>2006</v>
      </c>
      <c r="J4" s="504">
        <f>'Book Income Statement'!K5</f>
        <v>2007</v>
      </c>
      <c r="K4" s="504">
        <f>'Book Income Statement'!L5</f>
        <v>2008</v>
      </c>
      <c r="L4" s="504">
        <f>'Book Income Statement'!M5</f>
        <v>2009</v>
      </c>
      <c r="M4" s="504">
        <f>'Book Income Statement'!N5</f>
        <v>2010</v>
      </c>
      <c r="N4" s="504">
        <f>'Book Income Statement'!O5</f>
        <v>2011</v>
      </c>
      <c r="O4" s="504">
        <f>'Book Income Statement'!P5</f>
        <v>2012</v>
      </c>
      <c r="P4" s="504">
        <f>'Book Income Statement'!Q5</f>
        <v>2013</v>
      </c>
      <c r="Q4" s="504">
        <f>'Book Income Statement'!R5</f>
        <v>2014</v>
      </c>
      <c r="R4" s="504">
        <f>'Book Income Statement'!S5</f>
        <v>2015</v>
      </c>
      <c r="S4" s="504">
        <f>'Book Income Statement'!T5</f>
        <v>2016</v>
      </c>
      <c r="T4" s="504">
        <f>'Book Income Statement'!U5</f>
        <v>2017</v>
      </c>
      <c r="U4" s="504">
        <f>'Book Income Statement'!V5</f>
        <v>2018</v>
      </c>
      <c r="V4" s="504">
        <f>'Book Income Statement'!W5</f>
        <v>2019</v>
      </c>
      <c r="W4" s="504">
        <f>'Book Income Statement'!X5</f>
        <v>2020</v>
      </c>
      <c r="X4" s="504">
        <f>'Book Income Statement'!Y5</f>
        <v>2021</v>
      </c>
      <c r="Y4" s="504">
        <f>'Book Income Statement'!Z5</f>
        <v>2022</v>
      </c>
      <c r="Z4" s="504">
        <f>'Book Income Statement'!AA5</f>
        <v>2023</v>
      </c>
      <c r="AA4" s="505">
        <f>'Book Income Statement'!AB5</f>
        <v>2024</v>
      </c>
      <c r="AB4" s="40"/>
      <c r="AC4" s="40"/>
      <c r="AD4" s="27"/>
      <c r="AE4" s="40"/>
      <c r="AF4" s="40"/>
      <c r="AG4" s="40"/>
      <c r="AH4" s="40"/>
      <c r="AI4" s="40"/>
      <c r="AJ4" s="40"/>
      <c r="AK4" s="40"/>
      <c r="AL4" s="40"/>
      <c r="AM4" s="40"/>
      <c r="AN4" s="40"/>
      <c r="AO4" s="40"/>
      <c r="AP4" s="40"/>
      <c r="AQ4" s="40"/>
      <c r="AR4" s="40"/>
      <c r="AS4" s="40"/>
      <c r="AT4" s="40"/>
      <c r="AU4" s="40"/>
      <c r="AV4" s="40"/>
      <c r="AW4" s="40"/>
      <c r="AX4" s="40"/>
      <c r="AY4" s="40"/>
      <c r="AZ4" s="40"/>
    </row>
    <row r="5" spans="1:52" s="33" customFormat="1" ht="15.75">
      <c r="A5" s="666" t="s">
        <v>167</v>
      </c>
      <c r="AA5" s="414"/>
    </row>
    <row r="6" spans="1:52" s="34" customFormat="1" ht="12.6" customHeight="1">
      <c r="A6" s="667" t="s">
        <v>38</v>
      </c>
      <c r="B6" s="668">
        <f>'Project Assumptions'!G16</f>
        <v>36678</v>
      </c>
      <c r="C6" s="668">
        <f>DATE(YEAR(B6),12,31)</f>
        <v>36891</v>
      </c>
      <c r="D6" s="668">
        <f t="shared" ref="D6:AA6" si="0">EDATE(C6,12)</f>
        <v>37256</v>
      </c>
      <c r="E6" s="668">
        <f t="shared" si="0"/>
        <v>37621</v>
      </c>
      <c r="F6" s="668">
        <f t="shared" si="0"/>
        <v>37986</v>
      </c>
      <c r="G6" s="668">
        <f t="shared" si="0"/>
        <v>38352</v>
      </c>
      <c r="H6" s="668">
        <f t="shared" si="0"/>
        <v>38717</v>
      </c>
      <c r="I6" s="668">
        <f t="shared" si="0"/>
        <v>39082</v>
      </c>
      <c r="J6" s="668">
        <f t="shared" si="0"/>
        <v>39447</v>
      </c>
      <c r="K6" s="668">
        <f t="shared" si="0"/>
        <v>39813</v>
      </c>
      <c r="L6" s="668">
        <f t="shared" si="0"/>
        <v>40178</v>
      </c>
      <c r="M6" s="668">
        <f t="shared" si="0"/>
        <v>40543</v>
      </c>
      <c r="N6" s="668">
        <f t="shared" si="0"/>
        <v>40908</v>
      </c>
      <c r="O6" s="668">
        <f t="shared" si="0"/>
        <v>41274</v>
      </c>
      <c r="P6" s="668">
        <f t="shared" si="0"/>
        <v>41639</v>
      </c>
      <c r="Q6" s="668">
        <f t="shared" si="0"/>
        <v>42004</v>
      </c>
      <c r="R6" s="668">
        <f t="shared" si="0"/>
        <v>42369</v>
      </c>
      <c r="S6" s="668">
        <f t="shared" si="0"/>
        <v>42735</v>
      </c>
      <c r="T6" s="668">
        <f t="shared" si="0"/>
        <v>43100</v>
      </c>
      <c r="U6" s="668">
        <f t="shared" si="0"/>
        <v>43465</v>
      </c>
      <c r="V6" s="668">
        <f t="shared" si="0"/>
        <v>43830</v>
      </c>
      <c r="W6" s="668">
        <f t="shared" si="0"/>
        <v>44196</v>
      </c>
      <c r="X6" s="668">
        <f t="shared" si="0"/>
        <v>44561</v>
      </c>
      <c r="Y6" s="668">
        <f t="shared" si="0"/>
        <v>44926</v>
      </c>
      <c r="Z6" s="668">
        <f t="shared" si="0"/>
        <v>45291</v>
      </c>
      <c r="AA6" s="669">
        <f t="shared" si="0"/>
        <v>45657</v>
      </c>
      <c r="AB6" s="33"/>
      <c r="AC6" s="33"/>
    </row>
    <row r="7" spans="1:52" s="34" customFormat="1" ht="12.6" customHeight="1">
      <c r="A7" s="418" t="s">
        <v>169</v>
      </c>
      <c r="B7" s="425">
        <f>'Project Assumptions'!C8*-1</f>
        <v>-72751.789000000019</v>
      </c>
      <c r="C7" s="425">
        <f>'Cash Flow Statement'!D21</f>
        <v>-6468.4251510931717</v>
      </c>
      <c r="D7" s="425">
        <f>'Cash Flow Statement'!E21+'Cash Flow Statement'!E44</f>
        <v>5559.0788126314401</v>
      </c>
      <c r="E7" s="425">
        <f>'Cash Flow Statement'!F21+'Cash Flow Statement'!F44</f>
        <v>3261.9055814248422</v>
      </c>
      <c r="F7" s="425">
        <f>'Cash Flow Statement'!G21+'Cash Flow Statement'!G44</f>
        <v>11278.464454438923</v>
      </c>
      <c r="G7" s="425">
        <f>'Cash Flow Statement'!H21+'Cash Flow Statement'!H44</f>
        <v>25387.124318847738</v>
      </c>
      <c r="H7" s="425">
        <f>'Cash Flow Statement'!I21+'Cash Flow Statement'!I44</f>
        <v>27305.188421331157</v>
      </c>
      <c r="I7" s="425">
        <f>'Cash Flow Statement'!J21+'Cash Flow Statement'!J44</f>
        <v>26676.362579124718</v>
      </c>
      <c r="J7" s="425">
        <f>'Cash Flow Statement'!K21+'Cash Flow Statement'!K44</f>
        <v>27862.492611291011</v>
      </c>
      <c r="K7" s="425">
        <f>'Cash Flow Statement'!L21+'Cash Flow Statement'!L44</f>
        <v>23598.229169049118</v>
      </c>
      <c r="L7" s="425">
        <f>'Cash Flow Statement'!M21+'Cash Flow Statement'!M44</f>
        <v>21468.298566367532</v>
      </c>
      <c r="M7" s="425">
        <f>'Cash Flow Statement'!N21+'Cash Flow Statement'!N44</f>
        <v>36966.207213895213</v>
      </c>
      <c r="N7" s="425">
        <f>'Cash Flow Statement'!O21+'Cash Flow Statement'!O44</f>
        <v>36789.097747399064</v>
      </c>
      <c r="O7" s="425">
        <f>'Cash Flow Statement'!P21+'Cash Flow Statement'!P44</f>
        <v>37667.06212037454</v>
      </c>
      <c r="P7" s="425">
        <f>'Cash Flow Statement'!Q21+'Cash Flow Statement'!Q44</f>
        <v>38530.382583588551</v>
      </c>
      <c r="Q7" s="425">
        <f>'Cash Flow Statement'!R21+'Cash Flow Statement'!R44</f>
        <v>39418.657256100589</v>
      </c>
      <c r="R7" s="425">
        <f>'Cash Flow Statement'!S21+'Cash Flow Statement'!S44</f>
        <v>40247.039278457247</v>
      </c>
      <c r="S7" s="425">
        <f>'Cash Flow Statement'!T21+'Cash Flow Statement'!T44</f>
        <v>36115.340504105305</v>
      </c>
      <c r="T7" s="425">
        <f>'Cash Flow Statement'!U21+'Cash Flow Statement'!U44</f>
        <v>35331.81033928776</v>
      </c>
      <c r="U7" s="425">
        <f>'Cash Flow Statement'!V21+'Cash Flow Statement'!V44</f>
        <v>33740.714009454467</v>
      </c>
      <c r="V7" s="425">
        <f>'Cash Flow Statement'!W21+'Cash Flow Statement'!W44</f>
        <v>32109.433057486513</v>
      </c>
      <c r="W7" s="425">
        <f>'Cash Flow Statement'!X21+'Cash Flow Statement'!X44</f>
        <v>19522.89814647345</v>
      </c>
      <c r="X7" s="425">
        <f>'Cash Flow Statement'!Y21+'Cash Flow Statement'!Y44</f>
        <v>0</v>
      </c>
      <c r="Y7" s="425">
        <f>'Cash Flow Statement'!Z21+'Cash Flow Statement'!Z44</f>
        <v>0</v>
      </c>
      <c r="Z7" s="425">
        <f>'Cash Flow Statement'!AA21+'Cash Flow Statement'!AA44</f>
        <v>0</v>
      </c>
      <c r="AA7" s="637">
        <f>'Cash Flow Statement'!AB21+'Cash Flow Statement'!AB44</f>
        <v>0</v>
      </c>
      <c r="AB7" s="33"/>
      <c r="AC7" s="33"/>
    </row>
    <row r="8" spans="1:52" s="34" customFormat="1" ht="12.6" customHeight="1">
      <c r="A8" s="420" t="s">
        <v>39</v>
      </c>
      <c r="B8" s="33"/>
      <c r="C8" s="670" t="e">
        <f>XIRR($B$7:C7,$B$6:C6)</f>
        <v>#NUM!</v>
      </c>
      <c r="D8" s="670">
        <f>XIRR($B$7:D7,$B$6:D6)</f>
        <v>-0.82869784124195567</v>
      </c>
      <c r="E8" s="670">
        <f>XIRR($B$7:E7,$B$6:E6)</f>
        <v>-0.66235305685549983</v>
      </c>
      <c r="F8" s="670">
        <f>XIRR($B$7:F7,$B$6:F6)</f>
        <v>-0.36960346288979073</v>
      </c>
      <c r="G8" s="670">
        <f>XIRR($B$7:G7,$B$6:G6)</f>
        <v>-0.13421477787196634</v>
      </c>
      <c r="H8" s="670">
        <f>XIRR($B$7:H7,$B$6:H6)</f>
        <v>-1.8828812241554266E-2</v>
      </c>
      <c r="I8" s="670">
        <f>XIRR($B$7:I7,$B$6:I6)</f>
        <v>4.6967288851737982E-2</v>
      </c>
      <c r="J8" s="670">
        <f>XIRR($B$7:J7,$B$6:J6)</f>
        <v>9.1096720099449163E-2</v>
      </c>
      <c r="K8" s="670">
        <f>XIRR($B$7:K7,$B$6:K6)</f>
        <v>0.11679440140724182</v>
      </c>
      <c r="L8" s="670">
        <f>XIRR($B$7:L7,$B$6:L6)</f>
        <v>0.13387903571128848</v>
      </c>
      <c r="M8" s="670">
        <f>XIRR($B$7:M7,$B$6:M6)</f>
        <v>0.15490556359291077</v>
      </c>
      <c r="N8" s="670">
        <f>XIRR($B$7:N7,$B$6:N6)</f>
        <v>0.16958244442939766</v>
      </c>
      <c r="O8" s="670">
        <f>XIRR($B$7:O7,$B$6:O6)</f>
        <v>0.18046517968177797</v>
      </c>
      <c r="P8" s="670">
        <f>XIRR($B$7:P7,$B$6:P6)</f>
        <v>0.1887017071247101</v>
      </c>
      <c r="Q8" s="670">
        <f>XIRR($B$7:Q7,$B$6:Q6)</f>
        <v>0.19503801465034487</v>
      </c>
      <c r="R8" s="670">
        <f>XIRR($B$7:R7,$B$6:R6)</f>
        <v>0.19996628165245053</v>
      </c>
      <c r="S8" s="670">
        <f>XIRR($B$7:S7,$B$6:S6)</f>
        <v>0.20338417887687682</v>
      </c>
      <c r="T8" s="670">
        <f>XIRR($B$7:T7,$B$6:T6)</f>
        <v>0.20600510239601136</v>
      </c>
      <c r="U8" s="670">
        <f>XIRR($B$7:U7,$B$6:U6)</f>
        <v>0.20798377394676207</v>
      </c>
      <c r="V8" s="670">
        <f>XIRR($B$7:V7,$B$6:V6)</f>
        <v>0.20948359370231631</v>
      </c>
      <c r="W8" s="670">
        <f>XIRR($B$7:W7,$B$6:W6)</f>
        <v>0.21021766066551212</v>
      </c>
      <c r="X8" s="670">
        <f>XIRR($B$7:X7,$B$6:X6)</f>
        <v>0.21021766066551212</v>
      </c>
      <c r="Y8" s="670">
        <f>XIRR($B$7:Y7,$B$6:Y6)</f>
        <v>0.21021766066551212</v>
      </c>
      <c r="Z8" s="670">
        <f>XIRR($B$7:Z7,$B$6:Z6)</f>
        <v>0.21021766066551212</v>
      </c>
      <c r="AA8" s="671">
        <f>XIRR($B$7:AA7,$B$6:AA6)</f>
        <v>0.21021766066551212</v>
      </c>
      <c r="AB8" s="33"/>
      <c r="AC8" s="33"/>
    </row>
    <row r="9" spans="1:52" ht="12.6" customHeight="1">
      <c r="A9" s="420" t="s">
        <v>66</v>
      </c>
      <c r="B9" s="58"/>
      <c r="C9" s="509">
        <f>XNPV('Project Assumptions'!$I$56,$B$7:C7,$B$6:C6)</f>
        <v>-78806.268414204664</v>
      </c>
      <c r="D9" s="509">
        <f>XNPV('Project Assumptions'!$I$56,$B$7:D7,$B$6:D6)</f>
        <v>-74160.441150166676</v>
      </c>
      <c r="E9" s="509">
        <f>XNPV('Project Assumptions'!$I$56,$B$7:E7,$B$6:E6)</f>
        <v>-71726.480289269006</v>
      </c>
      <c r="F9" s="509">
        <f>XNPV('Project Assumptions'!$I$56,$B$7:F7,$B$6:F6)</f>
        <v>-64212.42896912375</v>
      </c>
      <c r="G9" s="509">
        <f>XNPV('Project Assumptions'!$I$56,$B$7:G7,$B$6:G6)</f>
        <v>-49115.63163496153</v>
      </c>
      <c r="H9" s="509">
        <f>XNPV('Project Assumptions'!$I$56,$B$7:H7,$B$6:H6)</f>
        <v>-34617.952945605808</v>
      </c>
      <c r="I9" s="509">
        <f>XNPV('Project Assumptions'!$I$56,$B$7:I7,$B$6:I6)</f>
        <v>-21971.699495487941</v>
      </c>
      <c r="J9" s="509">
        <f>XNPV('Project Assumptions'!$I$56,$B$7:J7,$B$6:J6)</f>
        <v>-10178.348792042834</v>
      </c>
      <c r="K9" s="509">
        <f>XNPV('Project Assumptions'!$I$56,$B$7:K7,$B$6:K6)</f>
        <v>-1262.8879883332229</v>
      </c>
      <c r="L9" s="509">
        <f>XNPV('Project Assumptions'!$I$56,$B$7:L7,$B$6:L6)</f>
        <v>5978.8696233013306</v>
      </c>
      <c r="M9" s="509">
        <f>XNPV('Project Assumptions'!$I$56,$B$7:M7,$B$6:M6)</f>
        <v>17112.408473159398</v>
      </c>
      <c r="N9" s="509">
        <f>XNPV('Project Assumptions'!$I$56,$B$7:N7,$B$6:N6)</f>
        <v>27005.441285433924</v>
      </c>
      <c r="O9" s="509">
        <f>XNPV('Project Assumptions'!$I$56,$B$7:O7,$B$6:O6)</f>
        <v>36046.498015925128</v>
      </c>
      <c r="P9" s="509">
        <f>XNPV('Project Assumptions'!$I$56,$B$7:P7,$B$6:P6)</f>
        <v>44303.887021634102</v>
      </c>
      <c r="Q9" s="509">
        <f>XNPV('Project Assumptions'!$I$56,$B$7:Q7,$B$6:Q6)</f>
        <v>51846.524369951738</v>
      </c>
      <c r="R9" s="509">
        <f>XNPV('Project Assumptions'!$I$56,$B$7:R7,$B$6:R6)</f>
        <v>58722.547289047929</v>
      </c>
      <c r="S9" s="509">
        <f>XNPV('Project Assumptions'!$I$56,$B$7:S7,$B$6:S6)</f>
        <v>64229.891556192262</v>
      </c>
      <c r="T9" s="509">
        <f>XNPV('Project Assumptions'!$I$56,$B$7:T7,$B$6:T6)</f>
        <v>69040.481945302396</v>
      </c>
      <c r="U9" s="509">
        <f>XNPV('Project Assumptions'!$I$56,$B$7:U7,$B$6:U6)</f>
        <v>73142.227677328352</v>
      </c>
      <c r="V9" s="509">
        <f>XNPV('Project Assumptions'!$I$56,$B$7:V7,$B$6:V6)</f>
        <v>76627.438716335935</v>
      </c>
      <c r="W9" s="509">
        <f>XNPV('Project Assumptions'!$I$56,$B$7:W7,$B$6:W6)</f>
        <v>78518.858230403886</v>
      </c>
      <c r="X9" s="509">
        <f>XNPV('Project Assumptions'!$I$56,$B$7:X7,$B$6:X6)</f>
        <v>78518.858230403886</v>
      </c>
      <c r="Y9" s="509">
        <f>XNPV('Project Assumptions'!$I$56,$B$7:Y7,$B$6:Y6)</f>
        <v>78518.858230403886</v>
      </c>
      <c r="Z9" s="509">
        <f>XNPV('Project Assumptions'!$I$56,$B$7:Z7,$B$6:Z6)</f>
        <v>78518.858230403886</v>
      </c>
      <c r="AA9" s="510">
        <f>XNPV('Project Assumptions'!$I$56,$B$7:AA7,$B$6:AA6)</f>
        <v>78518.858230403886</v>
      </c>
    </row>
    <row r="10" spans="1:52" s="34" customFormat="1" ht="12.6" customHeight="1">
      <c r="A10" s="420"/>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414"/>
      <c r="AB10" s="33"/>
      <c r="AC10" s="33"/>
    </row>
    <row r="11" spans="1:52" s="34" customFormat="1" ht="12.6" customHeight="1">
      <c r="A11" s="418" t="s">
        <v>170</v>
      </c>
      <c r="B11" s="425">
        <f>'Project Assumptions'!C8*-1</f>
        <v>-72751.789000000019</v>
      </c>
      <c r="C11" s="425">
        <f>'Cash Flow Statement'!D23</f>
        <v>-6468.4251510931717</v>
      </c>
      <c r="D11" s="425">
        <f>'Cash Flow Statement'!E23+'Cash Flow Statement'!E44</f>
        <v>5559.0788126314401</v>
      </c>
      <c r="E11" s="425">
        <f>'Cash Flow Statement'!F23+'Cash Flow Statement'!F44</f>
        <v>3261.9055814248422</v>
      </c>
      <c r="F11" s="425">
        <f>'Cash Flow Statement'!G23+'Cash Flow Statement'!G44</f>
        <v>11278.464454438923</v>
      </c>
      <c r="G11" s="425">
        <f>'Cash Flow Statement'!H23+'Cash Flow Statement'!H44</f>
        <v>25387.124318847738</v>
      </c>
      <c r="H11" s="425">
        <f>'Cash Flow Statement'!I23+'Cash Flow Statement'!I44</f>
        <v>24618.69830835778</v>
      </c>
      <c r="I11" s="425">
        <f>'Cash Flow Statement'!J23+'Cash Flow Statement'!J44</f>
        <v>18637.626109678939</v>
      </c>
      <c r="J11" s="425">
        <f>'Cash Flow Statement'!K23+'Cash Flow Statement'!K44</f>
        <v>19363.215220335343</v>
      </c>
      <c r="K11" s="425">
        <f>'Cash Flow Statement'!L23+'Cash Flow Statement'!L44</f>
        <v>14622.214409378026</v>
      </c>
      <c r="L11" s="425">
        <f>'Cash Flow Statement'!M23+'Cash Flow Statement'!M44</f>
        <v>11859.364523063712</v>
      </c>
      <c r="M11" s="425">
        <f>'Cash Flow Statement'!N23+'Cash Flow Statement'!N44</f>
        <v>26612.114049375021</v>
      </c>
      <c r="N11" s="425">
        <f>'Cash Flow Statement'!O23+'Cash Flow Statement'!O44</f>
        <v>26123.254379503418</v>
      </c>
      <c r="O11" s="425">
        <f>'Cash Flow Statement'!P23+'Cash Flow Statement'!P44</f>
        <v>26642.995346301192</v>
      </c>
      <c r="P11" s="425">
        <f>'Cash Flow Statement'!Q23+'Cash Flow Statement'!Q44</f>
        <v>27157.169854373667</v>
      </c>
      <c r="Q11" s="425">
        <f>'Cash Flow Statement'!R23+'Cash Flow Statement'!R44</f>
        <v>27699.785239538785</v>
      </c>
      <c r="R11" s="425">
        <f>'Cash Flow Statement'!S23+'Cash Flow Statement'!S44</f>
        <v>25260.995851979424</v>
      </c>
      <c r="S11" s="425">
        <f>'Cash Flow Statement'!T23+'Cash Flow Statement'!T44</f>
        <v>17869.813448341854</v>
      </c>
      <c r="T11" s="425">
        <f>'Cash Flow Statement'!U23+'Cash Flow Statement'!U44</f>
        <v>16596.501301054534</v>
      </c>
      <c r="U11" s="425">
        <f>'Cash Flow Statement'!V23+'Cash Flow Statement'!V44</f>
        <v>14477.302576324164</v>
      </c>
      <c r="V11" s="425">
        <f>'Cash Flow Statement'!W23+'Cash Flow Statement'!W44</f>
        <v>12709.17085197334</v>
      </c>
      <c r="W11" s="425">
        <f>'Cash Flow Statement'!X23+'Cash Flow Statement'!X44</f>
        <v>11778.750138711828</v>
      </c>
      <c r="X11" s="425">
        <f>'Cash Flow Statement'!Y23+'Cash Flow Statement'!Y44</f>
        <v>0</v>
      </c>
      <c r="Y11" s="425">
        <f>'Cash Flow Statement'!Z23+'Cash Flow Statement'!Z44</f>
        <v>0</v>
      </c>
      <c r="Z11" s="425">
        <f>'Cash Flow Statement'!AA23+'Cash Flow Statement'!AA44</f>
        <v>0</v>
      </c>
      <c r="AA11" s="637">
        <f>'Cash Flow Statement'!AB23+'Cash Flow Statement'!AB44</f>
        <v>0</v>
      </c>
      <c r="AB11" s="33"/>
      <c r="AC11" s="33"/>
    </row>
    <row r="12" spans="1:52" s="34" customFormat="1" ht="12.6" customHeight="1">
      <c r="A12" s="420" t="s">
        <v>65</v>
      </c>
      <c r="B12" s="33"/>
      <c r="C12" s="670" t="e">
        <f>XIRR($B$11:C11,$B$6:C6)</f>
        <v>#NUM!</v>
      </c>
      <c r="D12" s="670">
        <f>XIRR($B$11:D11,$B$6:D6)</f>
        <v>-0.82869784124195567</v>
      </c>
      <c r="E12" s="670">
        <f>XIRR($B$11:E11,$B$6:E6)</f>
        <v>-0.66235305685549983</v>
      </c>
      <c r="F12" s="670">
        <f>XIRR($B$11:F11,$B$6:F6)</f>
        <v>-0.36960346288979073</v>
      </c>
      <c r="G12" s="670">
        <f>XIRR($B$11:G11,$B$6:G6)</f>
        <v>-0.13421477787196634</v>
      </c>
      <c r="H12" s="670">
        <f>XIRR($B$11:H11,$B$6:H6)</f>
        <v>-2.7300515770912168E-2</v>
      </c>
      <c r="I12" s="670">
        <f>XIRR($B$11:I11,$B$6:I6)</f>
        <v>2.380386292934418E-2</v>
      </c>
      <c r="J12" s="670">
        <f>XIRR($B$11:J11,$B$6:J6)</f>
        <v>6.0980930924415588E-2</v>
      </c>
      <c r="K12" s="670">
        <f>XIRR($B$11:K11,$B$6:K6)</f>
        <v>8.1622031331062342E-2</v>
      </c>
      <c r="L12" s="670">
        <f>XIRR($B$11:L11,$B$6:L6)</f>
        <v>9.470446407794951E-2</v>
      </c>
      <c r="M12" s="670">
        <f>XIRR($B$11:M11,$B$6:M6)</f>
        <v>0.11653608679771424</v>
      </c>
      <c r="N12" s="670">
        <f>XIRR($B$11:N11,$B$6:N6)</f>
        <v>0.13179786801338195</v>
      </c>
      <c r="O12" s="670">
        <f>XIRR($B$11:O11,$B$6:O6)</f>
        <v>0.14327592253685001</v>
      </c>
      <c r="P12" s="670">
        <f>XIRR($B$11:P11,$B$6:P6)</f>
        <v>0.15209252238273618</v>
      </c>
      <c r="Q12" s="670">
        <f>XIRR($B$11:Q11,$B$6:Q6)</f>
        <v>0.15898091197013861</v>
      </c>
      <c r="R12" s="670">
        <f>XIRR($B$11:R11,$B$6:R6)</f>
        <v>0.16388019919395444</v>
      </c>
      <c r="S12" s="670">
        <f>XIRR($B$11:S11,$B$6:S6)</f>
        <v>0.16665396094322207</v>
      </c>
      <c r="T12" s="670">
        <f>XIRR($B$11:T11,$B$6:T6)</f>
        <v>0.16875706315040592</v>
      </c>
      <c r="U12" s="670">
        <f>XIRR($B$11:U11,$B$6:U6)</f>
        <v>0.17026708722114567</v>
      </c>
      <c r="V12" s="670">
        <f>XIRR($B$11:V11,$B$6:V6)</f>
        <v>0.17136635184288021</v>
      </c>
      <c r="W12" s="670">
        <f>XIRR($B$11:W11,$B$6:W6)</f>
        <v>0.17221516966819764</v>
      </c>
      <c r="X12" s="670">
        <f>XIRR($B$11:X11,$B$6:X6)</f>
        <v>0.17221516966819764</v>
      </c>
      <c r="Y12" s="670">
        <f>XIRR($B$11:Y11,$B$6:Y6)</f>
        <v>0.17221516966819764</v>
      </c>
      <c r="Z12" s="670">
        <f>XIRR($B$11:Z11,$B$6:Z6)</f>
        <v>0.17221516966819764</v>
      </c>
      <c r="AA12" s="671">
        <f>XIRR($B$11:AA11,$B$6:AA6)</f>
        <v>0.17221516966819764</v>
      </c>
      <c r="AB12" s="33"/>
      <c r="AC12" s="33"/>
    </row>
    <row r="13" spans="1:52" ht="12.6" customHeight="1">
      <c r="A13" s="420" t="s">
        <v>67</v>
      </c>
      <c r="B13" s="58"/>
      <c r="C13" s="509">
        <f>XNPV('Project Assumptions'!$I$56,$B$11:C11,$B$6:C6)</f>
        <v>-78806.268414204664</v>
      </c>
      <c r="D13" s="509">
        <f>XNPV('Project Assumptions'!$I$56,$B$11:D11,$B$6:D6)</f>
        <v>-74160.441150166676</v>
      </c>
      <c r="E13" s="509">
        <f>XNPV('Project Assumptions'!$I$56,$B$11:E11,$B$6:E6)</f>
        <v>-71726.480289269006</v>
      </c>
      <c r="F13" s="509">
        <f>XNPV('Project Assumptions'!$I$56,$B$11:F11,$B$6:F6)</f>
        <v>-64212.42896912375</v>
      </c>
      <c r="G13" s="509">
        <f>XNPV('Project Assumptions'!$I$56,$B$11:G11,$B$6:G6)</f>
        <v>-49115.63163496153</v>
      </c>
      <c r="H13" s="509">
        <f>XNPV('Project Assumptions'!$I$56,$B$11:H11,$B$6:H6)</f>
        <v>-36044.343778697163</v>
      </c>
      <c r="I13" s="509">
        <f>XNPV('Project Assumptions'!$I$56,$B$11:I11,$B$6:I6)</f>
        <v>-27208.950917603896</v>
      </c>
      <c r="J13" s="509">
        <f>XNPV('Project Assumptions'!$I$56,$B$11:J11,$B$6:J6)</f>
        <v>-19013.087359181227</v>
      </c>
      <c r="K13" s="509">
        <f>XNPV('Project Assumptions'!$I$56,$B$11:K11,$B$6:K6)</f>
        <v>-13488.783883002186</v>
      </c>
      <c r="L13" s="509">
        <f>XNPV('Project Assumptions'!$I$56,$B$11:L11,$B$6:L6)</f>
        <v>-9488.3437438572</v>
      </c>
      <c r="M13" s="509">
        <f>XNPV('Project Assumptions'!$I$56,$B$11:M11,$B$6:M6)</f>
        <v>-1473.2665158585633</v>
      </c>
      <c r="N13" s="509">
        <f>XNPV('Project Assumptions'!$I$56,$B$11:N11,$B$6:N6)</f>
        <v>5551.5921668497622</v>
      </c>
      <c r="O13" s="509">
        <f>XNPV('Project Assumptions'!$I$56,$B$11:O11,$B$6:O6)</f>
        <v>11946.591374017211</v>
      </c>
      <c r="P13" s="509">
        <f>XNPV('Project Assumptions'!$I$56,$B$11:P11,$B$6:P6)</f>
        <v>17766.604069068708</v>
      </c>
      <c r="Q13" s="509">
        <f>XNPV('Project Assumptions'!$I$56,$B$11:Q11,$B$6:Q6)</f>
        <v>23066.871740053062</v>
      </c>
      <c r="R13" s="509">
        <f>XNPV('Project Assumptions'!$I$56,$B$11:R11,$B$6:R6)</f>
        <v>27382.597556197183</v>
      </c>
      <c r="S13" s="509">
        <f>XNPV('Project Assumptions'!$I$56,$B$11:S11,$B$6:S6)</f>
        <v>30107.622802421211</v>
      </c>
      <c r="T13" s="509">
        <f>XNPV('Project Assumptions'!$I$56,$B$11:T11,$B$6:T6)</f>
        <v>32367.313683953213</v>
      </c>
      <c r="U13" s="509">
        <f>XNPV('Project Assumptions'!$I$56,$B$11:U11,$B$6:U6)</f>
        <v>34127.270928398204</v>
      </c>
      <c r="V13" s="509">
        <f>XNPV('Project Assumptions'!$I$56,$B$11:V11,$B$6:V6)</f>
        <v>35506.745379741827</v>
      </c>
      <c r="W13" s="509">
        <f>XNPV('Project Assumptions'!$I$56,$B$11:W11,$B$6:W6)</f>
        <v>36647.89551516444</v>
      </c>
      <c r="X13" s="509">
        <f>XNPV('Project Assumptions'!$I$56,$B$11:X11,$B$6:X6)</f>
        <v>36647.89551516444</v>
      </c>
      <c r="Y13" s="509">
        <f>XNPV('Project Assumptions'!$I$56,$B$11:Y11,$B$6:Y6)</f>
        <v>36647.89551516444</v>
      </c>
      <c r="Z13" s="509">
        <f>XNPV('Project Assumptions'!$I$56,$B$11:Z11,$B$6:Z6)</f>
        <v>36647.89551516444</v>
      </c>
      <c r="AA13" s="510">
        <f>XNPV('Project Assumptions'!$I$56,$B$11:AA11,$B$6:AA6)</f>
        <v>36647.89551516444</v>
      </c>
    </row>
    <row r="14" spans="1:52" s="34" customFormat="1" ht="12.6" customHeight="1">
      <c r="A14" s="420"/>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414"/>
      <c r="AB14" s="33"/>
      <c r="AC14" s="33"/>
    </row>
    <row r="15" spans="1:52" ht="12.6" customHeight="1">
      <c r="A15" s="418" t="s">
        <v>130</v>
      </c>
      <c r="B15" s="425">
        <f>-('Project Assumptions'!C8+'Project Assumptions'!C9)</f>
        <v>-255548.78900000002</v>
      </c>
      <c r="C15" s="509">
        <f>+'Cash Flow Statement'!D21+'Cash Flow Statement'!D18+'Cash Flow Statement'!D14+'Cash Flow Statement'!D13+'Cash Flow Statement'!D11</f>
        <v>29308.995048906829</v>
      </c>
      <c r="D15" s="509">
        <f>+'Cash Flow Statement'!E21+'Cash Flow Statement'!E18+'Cash Flow Statement'!E14+'Cash Flow Statement'!E13+'Cash Flow Statement'!E11</f>
        <v>40341.367562631436</v>
      </c>
      <c r="E15" s="509">
        <f>+'Cash Flow Statement'!F21+'Cash Flow Statement'!F18+'Cash Flow Statement'!F14+'Cash Flow Statement'!F13+'Cash Flow Statement'!F11</f>
        <v>39769.562881424841</v>
      </c>
      <c r="F15" s="509">
        <f>+'Cash Flow Statement'!G21+'Cash Flow Statement'!G18+'Cash Flow Statement'!G14+'Cash Flow Statement'!G13+'Cash Flow Statement'!G11</f>
        <v>49099.606604438923</v>
      </c>
      <c r="G15" s="509">
        <f>+'Cash Flow Statement'!H21+'Cash Flow Statement'!H18+'Cash Flow Statement'!H14+'Cash Flow Statement'!H13+'Cash Flow Statement'!H11</f>
        <v>55972.397618847739</v>
      </c>
      <c r="H15" s="509">
        <f>+'Cash Flow Statement'!I21+'Cash Flow Statement'!I18+'Cash Flow Statement'!I14+'Cash Flow Statement'!I13+'Cash Flow Statement'!I11</f>
        <v>56743.37491333115</v>
      </c>
      <c r="I15" s="509">
        <f>+'Cash Flow Statement'!J21+'Cash Flow Statement'!J18+'Cash Flow Statement'!J14+'Cash Flow Statement'!J13+'Cash Flow Statement'!J11</f>
        <v>55955.602263124718</v>
      </c>
      <c r="J15" s="509">
        <f>+'Cash Flow Statement'!K21+'Cash Flow Statement'!K18+'Cash Flow Statement'!K14+'Cash Flow Statement'!K13+'Cash Flow Statement'!K11</f>
        <v>55832.985783291013</v>
      </c>
      <c r="K15" s="509">
        <f>+'Cash Flow Statement'!L21+'Cash Flow Statement'!L18+'Cash Flow Statement'!L14+'Cash Flow Statement'!L13+'Cash Flow Statement'!L11</f>
        <v>55700.975829049123</v>
      </c>
      <c r="L15" s="509">
        <f>+'Cash Flow Statement'!M21+'Cash Flow Statement'!M18+'Cash Flow Statement'!M14+'Cash Flow Statement'!M13+'Cash Flow Statement'!M11</f>
        <v>55147.17131436753</v>
      </c>
      <c r="M15" s="509">
        <f>+'Cash Flow Statement'!N21+'Cash Flow Statement'!N18+'Cash Flow Statement'!N14+'Cash Flow Statement'!N13+'Cash Flow Statement'!N11</f>
        <v>54336.522645895217</v>
      </c>
      <c r="N15" s="509">
        <f>+'Cash Flow Statement'!O21+'Cash Flow Statement'!O18+'Cash Flow Statement'!O14+'Cash Flow Statement'!O13+'Cash Flow Statement'!O11</f>
        <v>54500.914363399061</v>
      </c>
      <c r="O15" s="509">
        <f>+'Cash Flow Statement'!P21+'Cash Flow Statement'!P18+'Cash Flow Statement'!P14+'Cash Flow Statement'!P13+'Cash Flow Statement'!P11</f>
        <v>54570.580216374539</v>
      </c>
      <c r="P15" s="509">
        <f>+'Cash Flow Statement'!Q21+'Cash Flow Statement'!Q18+'Cash Flow Statement'!Q14+'Cash Flow Statement'!Q13+'Cash Flow Statement'!Q11</f>
        <v>54625.602159588554</v>
      </c>
      <c r="Q15" s="509">
        <f>+'Cash Flow Statement'!R21+'Cash Flow Statement'!R18+'Cash Flow Statement'!R14+'Cash Flow Statement'!R13+'Cash Flow Statement'!R11</f>
        <v>54705.578312100595</v>
      </c>
      <c r="R15" s="509">
        <f>+'Cash Flow Statement'!S21+'Cash Flow Statement'!S18+'Cash Flow Statement'!S14+'Cash Flow Statement'!S13+'Cash Flow Statement'!S11</f>
        <v>54725.661814457242</v>
      </c>
      <c r="S15" s="509">
        <f>+'Cash Flow Statement'!T21+'Cash Flow Statement'!T18+'Cash Flow Statement'!T14+'Cash Flow Statement'!T13+'Cash Flow Statement'!T11</f>
        <v>54726.364520105308</v>
      </c>
      <c r="T15" s="509">
        <f>+'Cash Flow Statement'!U21+'Cash Flow Statement'!U18+'Cash Flow Statement'!U14+'Cash Flow Statement'!U13+'Cash Flow Statement'!U11</f>
        <v>54302.517315287769</v>
      </c>
      <c r="U15" s="509">
        <f>+'Cash Flow Statement'!V21+'Cash Flow Statement'!V18+'Cash Flow Statement'!V14+'Cash Flow Statement'!V13+'Cash Flow Statement'!V11</f>
        <v>53735.92453745447</v>
      </c>
      <c r="V15" s="509">
        <f>+'Cash Flow Statement'!W21+'Cash Flow Statement'!W18+'Cash Flow Statement'!W14+'Cash Flow Statement'!W13+'Cash Flow Statement'!W11</f>
        <v>51656.028025486514</v>
      </c>
      <c r="W15" s="509">
        <f>+'Cash Flow Statement'!X21+'Cash Flow Statement'!X18+'Cash Flow Statement'!X14+'Cash Flow Statement'!X13+'Cash Flow Statement'!X11</f>
        <v>19522.89814647345</v>
      </c>
      <c r="X15" s="509">
        <f>+'Cash Flow Statement'!Y21+'Cash Flow Statement'!Y18+'Cash Flow Statement'!Y14+'Cash Flow Statement'!Y13+'Cash Flow Statement'!Y11</f>
        <v>0</v>
      </c>
      <c r="Y15" s="509">
        <f>+'Cash Flow Statement'!Z21+'Cash Flow Statement'!Z18+'Cash Flow Statement'!Z14+'Cash Flow Statement'!Z13+'Cash Flow Statement'!Z11</f>
        <v>0</v>
      </c>
      <c r="Z15" s="509">
        <f>+'Cash Flow Statement'!AA21+'Cash Flow Statement'!AA18+'Cash Flow Statement'!AA14+'Cash Flow Statement'!AA13+'Cash Flow Statement'!AA11</f>
        <v>0</v>
      </c>
      <c r="AA15" s="510">
        <f>+'Cash Flow Statement'!AB21+'Cash Flow Statement'!AB18+'Cash Flow Statement'!AB14+'Cash Flow Statement'!AB13+'Cash Flow Statement'!AB11</f>
        <v>0</v>
      </c>
    </row>
    <row r="16" spans="1:52" s="34" customFormat="1" ht="12.6" customHeight="1">
      <c r="A16" s="420" t="s">
        <v>128</v>
      </c>
      <c r="B16" s="33"/>
      <c r="C16" s="670">
        <f>XIRR($B$15:C15,$B$6:C6)</f>
        <v>-0.97554365675896415</v>
      </c>
      <c r="D16" s="670">
        <f>XIRR($B$15:D15,$B$6:D6)</f>
        <v>-0.63891207054257393</v>
      </c>
      <c r="E16" s="670">
        <f>XIRR($B$15:E15,$B$6:E6)</f>
        <v>-0.37266984805464753</v>
      </c>
      <c r="F16" s="670">
        <f>XIRR($B$15:F15,$B$6:F6)</f>
        <v>-0.18129980042576793</v>
      </c>
      <c r="G16" s="670">
        <f>XIRR($B$15:G15,$B$6:G6)</f>
        <v>-5.8007451891899112E-2</v>
      </c>
      <c r="H16" s="670">
        <f>XIRR($B$15:H15,$B$6:H6)</f>
        <v>1.7585912346839906E-2</v>
      </c>
      <c r="I16" s="670">
        <f>XIRR($B$15:I15,$B$6:I6)</f>
        <v>6.6109469532966605E-2</v>
      </c>
      <c r="J16" s="670">
        <f>XIRR($B$15:J15,$B$6:J6)</f>
        <v>9.9233907461166393E-2</v>
      </c>
      <c r="K16" s="670">
        <f>XIRR($B$15:K15,$B$6:K6)</f>
        <v>0.12262373566627502</v>
      </c>
      <c r="L16" s="670">
        <f>XIRR($B$15:L15,$B$6:L6)</f>
        <v>0.13947240710258485</v>
      </c>
      <c r="M16" s="670">
        <f>XIRR($B$15:M15,$B$6:M6)</f>
        <v>0.15182819962501529</v>
      </c>
      <c r="N16" s="670">
        <f>XIRR($B$15:N15,$B$6:N6)</f>
        <v>0.16121484637260439</v>
      </c>
      <c r="O16" s="670">
        <f>XIRR($B$15:O15,$B$6:O6)</f>
        <v>0.1684268534183502</v>
      </c>
      <c r="P16" s="670">
        <f>XIRR($B$15:P15,$B$6:P6)</f>
        <v>0.17403303980827334</v>
      </c>
      <c r="Q16" s="670">
        <f>XIRR($B$15:Q15,$B$6:Q6)</f>
        <v>0.17843587994575508</v>
      </c>
      <c r="R16" s="670">
        <f>XIRR($B$15:R15,$B$6:R6)</f>
        <v>0.1819189965724945</v>
      </c>
      <c r="S16" s="670">
        <f>XIRR($B$15:S15,$B$6:S6)</f>
        <v>0.18469237685203554</v>
      </c>
      <c r="T16" s="670">
        <f>XIRR($B$15:T15,$B$6:T6)</f>
        <v>0.18689866662025448</v>
      </c>
      <c r="U16" s="670">
        <f>XIRR($B$15:U15,$B$6:U6)</f>
        <v>0.18865920901298522</v>
      </c>
      <c r="V16" s="670">
        <f>XIRR($B$15:V15,$B$6:V6)</f>
        <v>0.19003142714500423</v>
      </c>
      <c r="W16" s="670">
        <f>XIRR($B$15:W15,$B$6:W6)</f>
        <v>0.19045745730400082</v>
      </c>
      <c r="X16" s="670">
        <f>XIRR($B$15:X15,$B$6:X6)</f>
        <v>0.19045745730400082</v>
      </c>
      <c r="Y16" s="670">
        <f>XIRR($B$15:Y15,$B$6:Y6)</f>
        <v>0.19045745730400082</v>
      </c>
      <c r="Z16" s="670">
        <f>XIRR($B$15:Z15,$B$6:Z6)</f>
        <v>0.19045745730400082</v>
      </c>
      <c r="AA16" s="671">
        <f>XIRR($B$15:AA15,$B$6:AA6)</f>
        <v>0.19045745730400082</v>
      </c>
      <c r="AB16" s="33"/>
      <c r="AC16" s="33"/>
    </row>
    <row r="17" spans="1:29" ht="12.6" customHeight="1">
      <c r="A17" s="420" t="s">
        <v>129</v>
      </c>
      <c r="B17" s="58"/>
      <c r="C17" s="509">
        <f>XNPV('Project Assumptions'!$I$56,$B$15:C15,$B$6:C6)</f>
        <v>-228115.41796614908</v>
      </c>
      <c r="D17" s="509">
        <f>XNPV('Project Assumptions'!$I$56,$B$15:D15,$B$6:D6)</f>
        <v>-194401.37439742073</v>
      </c>
      <c r="E17" s="509">
        <f>XNPV('Project Assumptions'!$I$56,$B$15:E15,$B$6:E6)</f>
        <v>-164726.21762414768</v>
      </c>
      <c r="F17" s="509">
        <f>XNPV('Project Assumptions'!$I$56,$B$15:F15,$B$6:F6)</f>
        <v>-132014.5869482632</v>
      </c>
      <c r="G17" s="509">
        <f>XNPV('Project Assumptions'!$I$56,$B$15:G15,$B$6:G6)</f>
        <v>-98729.842581547098</v>
      </c>
      <c r="H17" s="509">
        <f>XNPV('Project Assumptions'!$I$56,$B$15:H15,$B$6:H6)</f>
        <v>-68601.970744542632</v>
      </c>
      <c r="I17" s="509">
        <f>XNPV('Project Assumptions'!$I$56,$B$15:I15,$B$6:I6)</f>
        <v>-42075.538361770523</v>
      </c>
      <c r="J17" s="509">
        <f>XNPV('Project Assumptions'!$I$56,$B$15:J15,$B$6:J6)</f>
        <v>-18443.123582915388</v>
      </c>
      <c r="K17" s="509">
        <f>XNPV('Project Assumptions'!$I$56,$B$15:K15,$B$6:K6)</f>
        <v>2600.8226884257092</v>
      </c>
      <c r="L17" s="509">
        <f>XNPV('Project Assumptions'!$I$56,$B$15:L15,$B$6:L6)</f>
        <v>21203.249256667186</v>
      </c>
      <c r="M17" s="509">
        <f>XNPV('Project Assumptions'!$I$56,$B$15:M15,$B$6:M6)</f>
        <v>37568.406286270962</v>
      </c>
      <c r="N17" s="509">
        <f>XNPV('Project Assumptions'!$I$56,$B$15:N15,$B$6:N6)</f>
        <v>52224.36055289035</v>
      </c>
      <c r="O17" s="509">
        <f>XNPV('Project Assumptions'!$I$56,$B$15:O15,$B$6:O6)</f>
        <v>65322.693254691127</v>
      </c>
      <c r="P17" s="509">
        <f>XNPV('Project Assumptions'!$I$56,$B$15:P15,$B$6:P6)</f>
        <v>77029.424837858533</v>
      </c>
      <c r="Q17" s="509">
        <f>XNPV('Project Assumptions'!$I$56,$B$15:Q15,$B$6:Q6)</f>
        <v>87497.166939203336</v>
      </c>
      <c r="R17" s="509">
        <f>XNPV('Project Assumptions'!$I$56,$B$15:R15,$B$6:R6)</f>
        <v>96846.796418664992</v>
      </c>
      <c r="S17" s="509">
        <f>XNPV('Project Assumptions'!$I$56,$B$15:S15,$B$6:S6)</f>
        <v>105192.19551208327</v>
      </c>
      <c r="T17" s="509">
        <f>XNPV('Project Assumptions'!$I$56,$B$15:T15,$B$6:T6)</f>
        <v>112585.73593338838</v>
      </c>
      <c r="U17" s="509">
        <f>XNPV('Project Assumptions'!$I$56,$B$15:U15,$B$6:U6)</f>
        <v>119118.23252092981</v>
      </c>
      <c r="V17" s="509">
        <f>XNPV('Project Assumptions'!$I$56,$B$15:V15,$B$6:V6)</f>
        <v>124725.06334797661</v>
      </c>
      <c r="W17" s="509">
        <f>XNPV('Project Assumptions'!$I$56,$B$15:W15,$B$6:W6)</f>
        <v>126616.48286204456</v>
      </c>
      <c r="X17" s="509">
        <f>XNPV('Project Assumptions'!$I$56,$B$15:X15,$B$6:X6)</f>
        <v>126616.48286204456</v>
      </c>
      <c r="Y17" s="509">
        <f>XNPV('Project Assumptions'!$I$56,$B$15:Y15,$B$6:Y6)</f>
        <v>126616.48286204456</v>
      </c>
      <c r="Z17" s="509">
        <f>XNPV('Project Assumptions'!$I$56,$B$15:Z15,$B$6:Z6)</f>
        <v>126616.48286204456</v>
      </c>
      <c r="AA17" s="510">
        <f>XNPV('Project Assumptions'!$I$56,$B$15:AA15,$B$6:AA6)</f>
        <v>126616.48286204456</v>
      </c>
    </row>
    <row r="18" spans="1:29" s="34" customFormat="1" ht="12.6" customHeight="1">
      <c r="A18" s="420" t="s">
        <v>285</v>
      </c>
      <c r="B18" s="524">
        <v>0.12</v>
      </c>
      <c r="C18" s="33"/>
      <c r="D18" s="33"/>
      <c r="E18" s="33"/>
      <c r="F18" s="33"/>
      <c r="G18" s="33"/>
      <c r="H18" s="33"/>
      <c r="I18" s="33"/>
      <c r="J18" s="33"/>
      <c r="K18" s="33"/>
      <c r="L18" s="33"/>
      <c r="M18" s="33"/>
      <c r="N18" s="33"/>
      <c r="O18" s="33"/>
      <c r="P18" s="33"/>
      <c r="Q18" s="33"/>
      <c r="R18" s="33"/>
      <c r="S18" s="33"/>
      <c r="T18" s="33"/>
      <c r="U18" s="33"/>
      <c r="V18" s="33"/>
      <c r="W18" s="33"/>
      <c r="X18" s="33"/>
      <c r="Y18" s="33"/>
      <c r="Z18" s="33"/>
      <c r="AA18" s="414"/>
      <c r="AB18" s="33"/>
      <c r="AC18" s="33"/>
    </row>
    <row r="19" spans="1:29" ht="12.6" customHeight="1">
      <c r="A19" s="456" t="s">
        <v>286</v>
      </c>
      <c r="B19" s="672">
        <f>NPV(B18,C11:E11)</f>
        <v>978.04395815357032</v>
      </c>
      <c r="C19" s="58"/>
      <c r="D19" s="474" t="s">
        <v>294</v>
      </c>
      <c r="E19" s="474">
        <f>E15</f>
        <v>39769.562881424841</v>
      </c>
      <c r="F19" s="58"/>
      <c r="G19" s="58"/>
      <c r="H19" s="58"/>
      <c r="I19" s="58"/>
      <c r="J19" s="58"/>
      <c r="K19" s="58"/>
      <c r="L19" s="58"/>
      <c r="M19" s="58"/>
      <c r="N19" s="58"/>
      <c r="O19" s="58"/>
      <c r="P19" s="58"/>
      <c r="Q19" s="58"/>
      <c r="R19" s="58"/>
      <c r="S19" s="58"/>
      <c r="T19" s="58"/>
      <c r="U19" s="58"/>
      <c r="V19" s="58"/>
      <c r="W19" s="58"/>
      <c r="X19" s="58"/>
      <c r="Y19" s="58"/>
      <c r="Z19" s="58"/>
      <c r="AA19" s="458"/>
    </row>
    <row r="20" spans="1:29">
      <c r="A20" s="673" t="s">
        <v>287</v>
      </c>
      <c r="B20" s="454"/>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4"/>
      <c r="AA20" s="674"/>
    </row>
    <row r="21" spans="1:29" s="34" customFormat="1" ht="12.6" customHeight="1">
      <c r="A21" s="26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9" s="33" customFormat="1" ht="15.75">
      <c r="A22" s="675" t="s">
        <v>168</v>
      </c>
      <c r="B22" s="437"/>
      <c r="C22" s="437"/>
      <c r="D22" s="437"/>
      <c r="E22" s="437"/>
      <c r="F22" s="437"/>
      <c r="G22" s="437"/>
      <c r="H22" s="437"/>
      <c r="I22" s="437"/>
      <c r="J22" s="437"/>
      <c r="K22" s="437"/>
      <c r="L22" s="437"/>
      <c r="M22" s="437"/>
      <c r="N22" s="437"/>
      <c r="O22" s="437"/>
      <c r="P22" s="437"/>
      <c r="Q22" s="437"/>
      <c r="R22" s="437"/>
      <c r="S22" s="437"/>
      <c r="T22" s="437"/>
      <c r="U22" s="437"/>
      <c r="V22" s="437"/>
      <c r="W22" s="437"/>
      <c r="X22" s="437"/>
      <c r="Y22" s="437"/>
      <c r="Z22" s="437"/>
      <c r="AA22" s="408"/>
    </row>
    <row r="23" spans="1:29" s="42" customFormat="1" ht="12.6" customHeight="1">
      <c r="A23" s="420" t="s">
        <v>146</v>
      </c>
      <c r="B23" s="425"/>
      <c r="C23" s="425">
        <f>'Debt Amortization'!E54</f>
        <v>21585.3351</v>
      </c>
      <c r="D23" s="425">
        <f>'Debt Amortization'!F54</f>
        <v>21087.769375</v>
      </c>
      <c r="E23" s="425">
        <f>'Debt Amortization'!G54</f>
        <v>23310.703649999999</v>
      </c>
      <c r="F23" s="425">
        <f>'Debt Amortization'!H54</f>
        <v>25327.696075</v>
      </c>
      <c r="G23" s="425">
        <f>'Debt Amortization'!I54</f>
        <v>19001.27665</v>
      </c>
      <c r="H23" s="425">
        <f>'Debt Amortization'!J54</f>
        <v>18427.733246</v>
      </c>
      <c r="I23" s="425">
        <f>'Debt Amortization'!K54</f>
        <v>18842.329841999999</v>
      </c>
      <c r="J23" s="425">
        <f>'Debt Amortization'!L54</f>
        <v>18187.956586</v>
      </c>
      <c r="K23" s="425">
        <f>'Debt Amortization'!M54</f>
        <v>22974.583330000001</v>
      </c>
      <c r="L23" s="425">
        <f>'Debt Amortization'!N54</f>
        <v>25616.966374</v>
      </c>
      <c r="M23" s="425">
        <f>'Debt Amortization'!O54</f>
        <v>10661.437716</v>
      </c>
      <c r="N23" s="425">
        <f>'Debt Amortization'!P54</f>
        <v>11326.258308</v>
      </c>
      <c r="O23" s="425">
        <f>'Debt Amortization'!Q54</f>
        <v>10922.109048000002</v>
      </c>
      <c r="P23" s="425">
        <f>'Debt Amortization'!R54</f>
        <v>10517.959788000002</v>
      </c>
      <c r="Q23" s="425">
        <f>'Debt Amortization'!S54</f>
        <v>10113.810528000002</v>
      </c>
      <c r="R23" s="425">
        <f>'Debt Amortization'!T54</f>
        <v>9709.6612680000035</v>
      </c>
      <c r="S23" s="425">
        <f>'Debt Amortization'!U54</f>
        <v>14246.212008000002</v>
      </c>
      <c r="T23" s="425">
        <f>'Debt Amortization'!V54</f>
        <v>15414.193488000003</v>
      </c>
      <c r="U23" s="425">
        <f>'Debt Amortization'!W54</f>
        <v>17408.655264000001</v>
      </c>
      <c r="V23" s="425">
        <f>'Debt Amortization'!X54</f>
        <v>18172.487484000005</v>
      </c>
      <c r="W23" s="425">
        <f>'Debt Amortization'!Y54</f>
        <v>0</v>
      </c>
      <c r="X23" s="425">
        <f>'Debt Amortization'!Z54</f>
        <v>0</v>
      </c>
      <c r="Y23" s="425">
        <f>'Debt Amortization'!AA54</f>
        <v>0</v>
      </c>
      <c r="Z23" s="425">
        <f>'Debt Amortization'!AB54</f>
        <v>0</v>
      </c>
      <c r="AA23" s="637">
        <f>'Debt Amortization'!AC54</f>
        <v>0</v>
      </c>
    </row>
    <row r="24" spans="1:29" s="34" customFormat="1" ht="12.6" customHeight="1">
      <c r="A24" s="420" t="s">
        <v>147</v>
      </c>
      <c r="B24" s="33"/>
      <c r="C24" s="676">
        <f>IF(C23&lt;=0, "N/A", +'Book Income Statement'!D65/C23)</f>
        <v>0.70205263620220304</v>
      </c>
      <c r="D24" s="676">
        <f>IF(D23&lt;=0, "N/A", +'Book Income Statement'!E65/D23)</f>
        <v>1.2480160554305302</v>
      </c>
      <c r="E24" s="676">
        <f>IF(E23&lt;=0, "N/A", +'Book Income Statement'!F65/E23)</f>
        <v>1.1258584348796858</v>
      </c>
      <c r="F24" s="676">
        <f>IF(F23&lt;=0, "N/A", +'Book Income Statement'!G65/F23)</f>
        <v>1.4274584042152392</v>
      </c>
      <c r="G24" s="676">
        <f>IF(G23&lt;=0, "N/A", +'Book Income Statement'!H65/G23)</f>
        <v>2.307234236211968</v>
      </c>
      <c r="H24" s="676">
        <f>IF(H23&lt;=0, "N/A", +'Book Income Statement'!I65/H23)</f>
        <v>2.4533556596815429</v>
      </c>
      <c r="I24" s="676">
        <f>IF(I23&lt;=0, "N/A", +'Book Income Statement'!J65/I23)</f>
        <v>2.3859434386517422</v>
      </c>
      <c r="J24" s="676">
        <f>IF(J23&lt;=0, "N/A", +'Book Income Statement'!K65/J23)</f>
        <v>2.50066162837315</v>
      </c>
      <c r="K24" s="676">
        <f>IF(K23&lt;=0, "N/A", +'Book Income Statement'!L65/K23)</f>
        <v>2.0021185518159164</v>
      </c>
      <c r="L24" s="676">
        <f>IF(L23&lt;=0, "N/A", +'Book Income Statement'!M65/L23)</f>
        <v>1.8169767119064568</v>
      </c>
      <c r="M24" s="676">
        <f>IF(M23&lt;=0, "N/A", +'Book Income Statement'!N65/M23)</f>
        <v>4.4121300115914641</v>
      </c>
      <c r="N24" s="676">
        <f>IF(N23&lt;=0, "N/A", +'Book Income Statement'!O65/N23)</f>
        <v>4.1956785746629981</v>
      </c>
      <c r="O24" s="676">
        <f>IF(O23&lt;=0, "N/A", +'Book Income Statement'!P65/O23)</f>
        <v>4.393776389409096</v>
      </c>
      <c r="P24" s="676">
        <f>IF(P23&lt;=0, "N/A", +'Book Income Statement'!Q65/P23)</f>
        <v>4.6096652027462159</v>
      </c>
      <c r="Q24" s="676">
        <f>IF(Q23&lt;=0, "N/A", +'Book Income Statement'!R65/Q23)</f>
        <v>4.8370449199845567</v>
      </c>
      <c r="R24" s="676">
        <f>IF(R23&lt;=0, "N/A", +'Book Income Statement'!S65/R23)</f>
        <v>5.0815316616248811</v>
      </c>
      <c r="S24" s="676">
        <f>IF(S23&lt;=0, "N/A", +'Book Income Statement'!T65/S23)</f>
        <v>3.4914407368285643</v>
      </c>
      <c r="T24" s="676">
        <f>IF(T23&lt;=0, "N/A", +'Book Income Statement'!U65/T23)</f>
        <v>3.2542069716442557</v>
      </c>
      <c r="U24" s="676">
        <f>IF(U23&lt;=0, "N/A", +'Book Income Statement'!V65/U23)</f>
        <v>2.9018838510283032</v>
      </c>
      <c r="V24" s="676">
        <f>IF(V23&lt;=0, "N/A", +'Book Income Statement'!W65/V23)</f>
        <v>2.7327660087305765</v>
      </c>
      <c r="W24" s="676" t="str">
        <f>IF(W23&lt;=0, "N/A", +'Book Income Statement'!X65/W23)</f>
        <v>N/A</v>
      </c>
      <c r="X24" s="676" t="str">
        <f>IF(X23&lt;=0, "N/A", +'Book Income Statement'!Y65/X23)</f>
        <v>N/A</v>
      </c>
      <c r="Y24" s="676" t="str">
        <f>IF(Y23&lt;=0, "N/A", +'Book Income Statement'!Z65/Y23)</f>
        <v>N/A</v>
      </c>
      <c r="Z24" s="676" t="str">
        <f>IF(Z23&lt;=0, "N/A", +'Book Income Statement'!AA65/Z23)</f>
        <v>N/A</v>
      </c>
      <c r="AA24" s="677" t="str">
        <f>IF(AA23&lt;=0, "N/A", +'Book Income Statement'!AB65/AA23)</f>
        <v>N/A</v>
      </c>
    </row>
    <row r="25" spans="1:29" s="34" customFormat="1" ht="12.6" customHeight="1">
      <c r="A25" s="420" t="s">
        <v>112</v>
      </c>
      <c r="B25" s="425">
        <f>B29+B34+B39</f>
        <v>182797</v>
      </c>
      <c r="C25" s="670">
        <f>(($B$29+$B$34)-(IF('Project Assumptions'!$I$34="Normal",SUM('Debt Amortization'!$E$53:E53),SUM('Debt Amortization'!$E$105:E105))))/($B$29+$B$34)</f>
        <v>1</v>
      </c>
      <c r="D25" s="670">
        <f>(($B$29+$B$34)-(IF('Project Assumptions'!$I$34="Normal",SUM('Debt Amortization'!$E$53:F53),SUM('Debt Amortization'!$E$105:F105))))/($B$29+$B$34)</f>
        <v>1</v>
      </c>
      <c r="E25" s="670">
        <f>(($B$29+$B$34)-(IF('Project Assumptions'!$I$34="Normal",SUM('Debt Amortization'!$E$53:G53),SUM('Debt Amortization'!$E$105:G105))))/($B$29+$B$34)</f>
        <v>1</v>
      </c>
      <c r="F25" s="670">
        <f>(($B$29+$B$34)-(IF('Project Assumptions'!$I$34="Normal",SUM('Debt Amortization'!$E$53:H53),SUM('Debt Amortization'!$E$105:H105))))/($B$29+$B$34)</f>
        <v>1</v>
      </c>
      <c r="G25" s="670">
        <f>(($B$29+$B$34)-(IF('Project Assumptions'!$I$34="Normal",SUM('Debt Amortization'!$E$53:I53),SUM('Debt Amortization'!$E$105:I105))))/($B$29+$B$34)</f>
        <v>1</v>
      </c>
      <c r="H25" s="670">
        <f>(($B$29+$B$34)-(IF('Project Assumptions'!$I$34="Normal",SUM('Debt Amortization'!$E$53:J53),SUM('Debt Amortization'!$E$105:J105))))/($B$29+$B$34)</f>
        <v>1</v>
      </c>
      <c r="I25" s="670">
        <f>(($B$29+$B$34)-(IF('Project Assumptions'!$I$34="Normal",SUM('Debt Amortization'!$E$53:K53),SUM('Debt Amortization'!$E$105:K105))))/($B$29+$B$34)</f>
        <v>1</v>
      </c>
      <c r="J25" s="670">
        <f>(($B$29+$B$34)-(IF('Project Assumptions'!$I$34="Normal",SUM('Debt Amortization'!$E$53:L53),SUM('Debt Amortization'!$E$105:L105))))/($B$29+$B$34)</f>
        <v>1</v>
      </c>
      <c r="K25" s="670">
        <f>(($B$29+$B$34)-(IF('Project Assumptions'!$I$34="Normal",SUM('Debt Amortization'!$E$53:M53),SUM('Debt Amortization'!$E$105:M105))))/($B$29+$B$34)</f>
        <v>1</v>
      </c>
      <c r="L25" s="670">
        <f>(($B$29+$B$34)-(IF('Project Assumptions'!$I$34="Normal",SUM('Debt Amortization'!$E$53:N53),SUM('Debt Amortization'!$E$105:N105))))/($B$29+$B$34)</f>
        <v>1</v>
      </c>
      <c r="M25" s="670">
        <f>(($B$29+$B$34)-(IF('Project Assumptions'!$I$34="Normal",SUM('Debt Amortization'!$E$53:O53),SUM('Debt Amortization'!$E$105:O105))))/($B$29+$B$34)</f>
        <v>1</v>
      </c>
      <c r="N25" s="670">
        <f>(($B$29+$B$34)-(IF('Project Assumptions'!$I$34="Normal",SUM('Debt Amortization'!$E$53:P53),SUM('Debt Amortization'!$E$105:P105))))/($B$29+$B$34)</f>
        <v>1</v>
      </c>
      <c r="O25" s="670">
        <f>(($B$29+$B$34)-(IF('Project Assumptions'!$I$34="Normal",SUM('Debt Amortization'!$E$53:Q53),SUM('Debt Amortization'!$E$105:Q105))))/($B$29+$B$34)</f>
        <v>1</v>
      </c>
      <c r="P25" s="670">
        <f>(($B$29+$B$34)-(IF('Project Assumptions'!$I$34="Normal",SUM('Debt Amortization'!$E$53:R53),SUM('Debt Amortization'!$E$105:R105))))/($B$29+$B$34)</f>
        <v>1</v>
      </c>
      <c r="Q25" s="670">
        <f>(($B$29+$B$34)-(IF('Project Assumptions'!$I$34="Normal",SUM('Debt Amortization'!$E$53:S53),SUM('Debt Amortization'!$E$105:S105))))/($B$29+$B$34)</f>
        <v>1</v>
      </c>
      <c r="R25" s="670">
        <f>(($B$29+$B$34)-(IF('Project Assumptions'!$I$34="Normal",SUM('Debt Amortization'!$E$53:T53),SUM('Debt Amortization'!$E$105:T105))))/($B$29+$B$34)</f>
        <v>1</v>
      </c>
      <c r="S25" s="670">
        <f>(($B$29+$B$34)-(IF('Project Assumptions'!$I$34="Normal",SUM('Debt Amortization'!$E$53:U53),SUM('Debt Amortization'!$E$105:U105))))/($B$29+$B$34)</f>
        <v>1</v>
      </c>
      <c r="T25" s="670">
        <f>(($B$29+$B$34)-(IF('Project Assumptions'!$I$34="Normal",SUM('Debt Amortization'!$E$53:V53),SUM('Debt Amortization'!$E$105:V105))))/($B$29+$B$34)</f>
        <v>1</v>
      </c>
      <c r="U25" s="670">
        <f>(($B$29+$B$34)-(IF('Project Assumptions'!$I$34="Normal",SUM('Debt Amortization'!$E$53:W53),SUM('Debt Amortization'!$E$105:W105))))/($B$29+$B$34)</f>
        <v>1</v>
      </c>
      <c r="V25" s="670">
        <f>(($B$29+$B$34)-(IF('Project Assumptions'!$I$34="Normal",SUM('Debt Amortization'!$E$53:X53),SUM('Debt Amortization'!$E$105:X105))))/($B$29+$B$34)</f>
        <v>1</v>
      </c>
      <c r="W25" s="670">
        <f>(($B$29+$B$34)-(IF('Project Assumptions'!$I$34="Normal",SUM('Debt Amortization'!$E$53:Y53),SUM('Debt Amortization'!$E$105:Y105))))/($B$29+$B$34)</f>
        <v>1</v>
      </c>
      <c r="X25" s="670">
        <f>(($B$29+$B$34)-(IF('Project Assumptions'!$I$34="Normal",SUM('Debt Amortization'!$E$53:Z53),SUM('Debt Amortization'!$E$105:Z105))))/($B$29+$B$34)</f>
        <v>1</v>
      </c>
      <c r="Y25" s="670">
        <f>(($B$29+$B$34)-(IF('Project Assumptions'!$I$34="Normal",SUM('Debt Amortization'!$E$53:AA53),SUM('Debt Amortization'!$E$105:AA105))))/($B$29+$B$34)</f>
        <v>1</v>
      </c>
      <c r="Z25" s="670">
        <f>(($B$29+$B$34)-(IF('Project Assumptions'!$I$34="Normal",SUM('Debt Amortization'!$E$53:AB53),SUM('Debt Amortization'!$E$105:AB105))))/($B$29+$B$34)</f>
        <v>1</v>
      </c>
      <c r="AA25" s="671">
        <f>(($B$29+$B$34)-(IF('Project Assumptions'!$I$34="Normal",SUM('Debt Amortization'!$E$53:AC53),SUM('Debt Amortization'!$E$105:AC105))))/($B$29+$B$34)</f>
        <v>1</v>
      </c>
    </row>
    <row r="26" spans="1:29" s="34" customFormat="1" ht="12.6" customHeight="1">
      <c r="A26" s="420" t="s">
        <v>148</v>
      </c>
      <c r="B26" s="425">
        <f>+'Project Assumptions'!C48</f>
        <v>0</v>
      </c>
      <c r="C26" s="425">
        <f>B26+'Cash Flow Statement'!D17-'Cash Flow Statement'!D18</f>
        <v>0</v>
      </c>
      <c r="D26" s="425">
        <f>C26+'Cash Flow Statement'!E17-'Cash Flow Statement'!E18</f>
        <v>0</v>
      </c>
      <c r="E26" s="425">
        <f>D26+'Cash Flow Statement'!F17-'Cash Flow Statement'!F18</f>
        <v>0</v>
      </c>
      <c r="F26" s="425">
        <f>E26+'Cash Flow Statement'!G17-'Cash Flow Statement'!G18</f>
        <v>0</v>
      </c>
      <c r="G26" s="425">
        <f>F26+'Cash Flow Statement'!H17-'Cash Flow Statement'!H18</f>
        <v>0</v>
      </c>
      <c r="H26" s="425">
        <f>G26+'Cash Flow Statement'!I17-'Cash Flow Statement'!I18</f>
        <v>0</v>
      </c>
      <c r="I26" s="425">
        <f>H26+'Cash Flow Statement'!J17-'Cash Flow Statement'!J18</f>
        <v>0</v>
      </c>
      <c r="J26" s="425">
        <f>I26+'Cash Flow Statement'!K17-'Cash Flow Statement'!K18</f>
        <v>0</v>
      </c>
      <c r="K26" s="425">
        <f>J26+'Cash Flow Statement'!L17-'Cash Flow Statement'!L18</f>
        <v>0</v>
      </c>
      <c r="L26" s="425">
        <f>K26+'Cash Flow Statement'!M17-'Cash Flow Statement'!M18</f>
        <v>0</v>
      </c>
      <c r="M26" s="425">
        <f>L26+'Cash Flow Statement'!N17-'Cash Flow Statement'!N18</f>
        <v>0</v>
      </c>
      <c r="N26" s="425">
        <f>M26+'Cash Flow Statement'!O17-'Cash Flow Statement'!O18</f>
        <v>0</v>
      </c>
      <c r="O26" s="425">
        <f>N26+'Cash Flow Statement'!P17-'Cash Flow Statement'!P18</f>
        <v>0</v>
      </c>
      <c r="P26" s="425">
        <f>O26+'Cash Flow Statement'!Q17-'Cash Flow Statement'!Q18</f>
        <v>0</v>
      </c>
      <c r="Q26" s="425">
        <f>P26+'Cash Flow Statement'!R17+'Cash Flow Statement'!R18</f>
        <v>0</v>
      </c>
      <c r="R26" s="425">
        <f>Q26+'Cash Flow Statement'!S17+'Cash Flow Statement'!S18</f>
        <v>0</v>
      </c>
      <c r="S26" s="425">
        <f>R26+'Cash Flow Statement'!T17+'Cash Flow Statement'!T18</f>
        <v>0</v>
      </c>
      <c r="T26" s="425">
        <f>S26+'Cash Flow Statement'!U17+'Cash Flow Statement'!U18</f>
        <v>0</v>
      </c>
      <c r="U26" s="425">
        <f>T26+'Cash Flow Statement'!V17+'Cash Flow Statement'!V18</f>
        <v>0</v>
      </c>
      <c r="V26" s="425">
        <f>U26+'Cash Flow Statement'!W17+'Cash Flow Statement'!W18</f>
        <v>0</v>
      </c>
      <c r="W26" s="425">
        <f>V26+'Cash Flow Statement'!X17+'Cash Flow Statement'!X18</f>
        <v>0</v>
      </c>
      <c r="X26" s="425">
        <f>W26+'Cash Flow Statement'!Y17+'Cash Flow Statement'!Y18</f>
        <v>0</v>
      </c>
      <c r="Y26" s="425">
        <f>X26+'Cash Flow Statement'!Z17+'Cash Flow Statement'!Z18</f>
        <v>0</v>
      </c>
      <c r="Z26" s="425">
        <f>Y26+'Cash Flow Statement'!AA17+'Cash Flow Statement'!AA18</f>
        <v>0</v>
      </c>
      <c r="AA26" s="637">
        <f>Z26+'Cash Flow Statement'!AB17+'Cash Flow Statement'!AB18</f>
        <v>0</v>
      </c>
    </row>
    <row r="27" spans="1:29" s="42" customFormat="1" ht="12.6" customHeight="1">
      <c r="A27" s="420" t="str">
        <f>"  Debt Reserve Interest Income @ "&amp;'Project Assumptions'!I48*100&amp;"%"</f>
        <v xml:space="preserve">  Debt Reserve Interest Income @ 0%</v>
      </c>
      <c r="B27" s="678"/>
      <c r="C27" s="425">
        <f>C26*'Project Assumptions'!$I$48*(SUM('Book Income Statement'!D7:D9)/12)</f>
        <v>0</v>
      </c>
      <c r="D27" s="425">
        <f>D26*'Project Assumptions'!$I$48*(SUM('Book Income Statement'!E7:E9)/12)</f>
        <v>0</v>
      </c>
      <c r="E27" s="425">
        <f>E26*'Project Assumptions'!$I$48*(SUM('Book Income Statement'!F7:F9)/12)</f>
        <v>0</v>
      </c>
      <c r="F27" s="425">
        <f>F26*'Project Assumptions'!$I$48*(SUM('Book Income Statement'!G7:G9)/12)</f>
        <v>0</v>
      </c>
      <c r="G27" s="425">
        <f>G26*'Project Assumptions'!$I$48*(SUM('Book Income Statement'!H7:H9)/12)</f>
        <v>0</v>
      </c>
      <c r="H27" s="425">
        <f>H26*'Project Assumptions'!$I$48*(SUM('Book Income Statement'!I7:I9)/12)</f>
        <v>0</v>
      </c>
      <c r="I27" s="425">
        <f>I26*'Project Assumptions'!$I$48*(SUM('Book Income Statement'!J7:J9)/12)</f>
        <v>0</v>
      </c>
      <c r="J27" s="425">
        <f>J26*'Project Assumptions'!$I$48*(SUM('Book Income Statement'!K7:K9)/12)</f>
        <v>0</v>
      </c>
      <c r="K27" s="425">
        <f>K26*'Project Assumptions'!$I$48*(SUM('Book Income Statement'!L7:L9)/12)</f>
        <v>0</v>
      </c>
      <c r="L27" s="425">
        <f>L26*'Project Assumptions'!$I$48*(SUM('Book Income Statement'!M7:M9)/12)</f>
        <v>0</v>
      </c>
      <c r="M27" s="425">
        <f>M26*'Project Assumptions'!$I$48*(SUM('Book Income Statement'!N7:N9)/12)</f>
        <v>0</v>
      </c>
      <c r="N27" s="425">
        <f>N26*'Project Assumptions'!$I$48*(SUM('Book Income Statement'!O7:O9)/12)</f>
        <v>0</v>
      </c>
      <c r="O27" s="425">
        <f>O26*'Project Assumptions'!$I$48*(SUM('Book Income Statement'!P7:P9)/12)</f>
        <v>0</v>
      </c>
      <c r="P27" s="425">
        <f>P26*'Project Assumptions'!$I$48*(SUM('Book Income Statement'!Q7:Q9)/12)</f>
        <v>0</v>
      </c>
      <c r="Q27" s="425">
        <f>Q26*'Project Assumptions'!$I$48*(SUM('Book Income Statement'!R7:R9)/12)</f>
        <v>0</v>
      </c>
      <c r="R27" s="425">
        <f>R26*'Project Assumptions'!$I$48*(SUM('Book Income Statement'!S7:S9)/12)</f>
        <v>0</v>
      </c>
      <c r="S27" s="425">
        <f>S26*'Project Assumptions'!$I$48*(SUM('Book Income Statement'!T7:T9)/12)</f>
        <v>0</v>
      </c>
      <c r="T27" s="425">
        <f>T26*'Project Assumptions'!$I$48*(SUM('Book Income Statement'!U7:U9)/12)</f>
        <v>0</v>
      </c>
      <c r="U27" s="425">
        <f>U26*'Project Assumptions'!$I$48*(SUM('Book Income Statement'!V7:V9)/12)</f>
        <v>0</v>
      </c>
      <c r="V27" s="425">
        <f>V26*'Project Assumptions'!$I$48*(SUM('Book Income Statement'!W7:W9)/12)</f>
        <v>0</v>
      </c>
      <c r="W27" s="425">
        <f>W26*'Project Assumptions'!$I$48*(SUM('Book Income Statement'!X7:X9)/12)</f>
        <v>0</v>
      </c>
      <c r="X27" s="425">
        <f>X26*'Project Assumptions'!$I$48*(SUM('Book Income Statement'!Y7:Y9)/12)</f>
        <v>0</v>
      </c>
      <c r="Y27" s="425">
        <f>Y26*'Project Assumptions'!$I$48*(SUM('Book Income Statement'!Z7:Z9)/12)</f>
        <v>0</v>
      </c>
      <c r="Z27" s="425">
        <f>Z26*'Project Assumptions'!$I$48*(SUM('Book Income Statement'!AA7:AA9)/12)</f>
        <v>0</v>
      </c>
      <c r="AA27" s="637">
        <f>AA26*'Project Assumptions'!$I$48*(SUM('Book Income Statement'!AB7:AB9)/12)</f>
        <v>0</v>
      </c>
    </row>
    <row r="28" spans="1:29" s="34" customFormat="1" ht="12.6" customHeight="1">
      <c r="A28" s="420"/>
      <c r="B28" s="33"/>
      <c r="C28" s="679"/>
      <c r="D28" s="679"/>
      <c r="E28" s="679"/>
      <c r="F28" s="679"/>
      <c r="G28" s="679"/>
      <c r="H28" s="679"/>
      <c r="I28" s="679"/>
      <c r="J28" s="679"/>
      <c r="K28" s="679"/>
      <c r="L28" s="679"/>
      <c r="M28" s="679"/>
      <c r="N28" s="679"/>
      <c r="O28" s="679"/>
      <c r="P28" s="679"/>
      <c r="Q28" s="679"/>
      <c r="R28" s="679"/>
      <c r="S28" s="679"/>
      <c r="T28" s="679"/>
      <c r="U28" s="679"/>
      <c r="V28" s="679"/>
      <c r="W28" s="679"/>
      <c r="X28" s="679"/>
      <c r="Y28" s="679"/>
      <c r="Z28" s="679"/>
      <c r="AA28" s="680"/>
    </row>
    <row r="29" spans="1:29" s="34" customFormat="1" ht="12.6" customHeight="1">
      <c r="A29" s="418" t="s">
        <v>111</v>
      </c>
      <c r="B29" s="425">
        <f>IF('Project Assumptions'!$I$34="Normal",'Debt Amortization'!B19,'Debt Amortization'!C68)</f>
        <v>29573</v>
      </c>
      <c r="C29" s="679"/>
      <c r="D29" s="679"/>
      <c r="E29" s="679"/>
      <c r="F29" s="679"/>
      <c r="G29" s="679"/>
      <c r="H29" s="679"/>
      <c r="I29" s="679"/>
      <c r="J29" s="679"/>
      <c r="K29" s="679"/>
      <c r="L29" s="679"/>
      <c r="M29" s="679"/>
      <c r="N29" s="679"/>
      <c r="O29" s="679"/>
      <c r="P29" s="679"/>
      <c r="Q29" s="679"/>
      <c r="R29" s="679"/>
      <c r="S29" s="679"/>
      <c r="T29" s="679"/>
      <c r="U29" s="679"/>
      <c r="V29" s="679"/>
      <c r="W29" s="679"/>
      <c r="X29" s="679"/>
      <c r="Y29" s="679"/>
      <c r="Z29" s="679"/>
      <c r="AA29" s="680"/>
    </row>
    <row r="30" spans="1:29" s="34" customFormat="1" ht="12.6" customHeight="1">
      <c r="A30" s="420" t="s">
        <v>113</v>
      </c>
      <c r="B30" s="33"/>
      <c r="C30" s="425">
        <f>IF('Project Assumptions'!$I$34="Normal",'Debt Amortization'!E29,'Debt Amortization'!E71)</f>
        <v>9383.5128999999997</v>
      </c>
      <c r="D30" s="425">
        <f>IF('Project Assumptions'!$I$34="Normal",'Debt Amortization'!F29,'Debt Amortization'!F71)</f>
        <v>8885.9471749999993</v>
      </c>
      <c r="E30" s="425">
        <f>IF('Project Assumptions'!$I$34="Normal",'Debt Amortization'!G29,'Debt Amortization'!G71)</f>
        <v>8388.3814500000008</v>
      </c>
      <c r="F30" s="425">
        <f>IF('Project Assumptions'!$I$34="Normal",'Debt Amortization'!H29,'Debt Amortization'!H71)</f>
        <v>7890.8157250000004</v>
      </c>
      <c r="G30" s="425">
        <f>IF('Project Assumptions'!$I$34="Normal",'Debt Amortization'!I29,'Debt Amortization'!I71)</f>
        <v>0</v>
      </c>
      <c r="H30" s="425">
        <f>IF('Project Assumptions'!$I$34="Normal",'Debt Amortization'!J29,'Debt Amortization'!J71)</f>
        <v>0</v>
      </c>
      <c r="I30" s="425">
        <f>IF('Project Assumptions'!$I$34="Normal",'Debt Amortization'!K29,'Debt Amortization'!K71)</f>
        <v>0</v>
      </c>
      <c r="J30" s="425">
        <f>IF('Project Assumptions'!$I$34="Normal",'Debt Amortization'!L29,'Debt Amortization'!L71)</f>
        <v>0</v>
      </c>
      <c r="K30" s="425">
        <f>IF('Project Assumptions'!$I$34="Normal",'Debt Amortization'!M29,'Debt Amortization'!M71)</f>
        <v>0</v>
      </c>
      <c r="L30" s="425">
        <f>IF('Project Assumptions'!$I$34="Normal",'Debt Amortization'!N29,'Debt Amortization'!N71)</f>
        <v>0</v>
      </c>
      <c r="M30" s="425">
        <f>IF('Project Assumptions'!$I$34="Normal",'Debt Amortization'!O29,'Debt Amortization'!O71)</f>
        <v>0</v>
      </c>
      <c r="N30" s="425">
        <f>IF('Project Assumptions'!$I$34="Normal",'Debt Amortization'!P29,'Debt Amortization'!P71)</f>
        <v>0</v>
      </c>
      <c r="O30" s="425">
        <f>IF('Project Assumptions'!$I$34="Normal",'Debt Amortization'!Q29,'Debt Amortization'!Q71)</f>
        <v>0</v>
      </c>
      <c r="P30" s="425">
        <f>IF('Project Assumptions'!$I$34="Normal",'Debt Amortization'!R29,'Debt Amortization'!R71)</f>
        <v>0</v>
      </c>
      <c r="Q30" s="425">
        <f>IF('Project Assumptions'!$I$34="Normal",'Debt Amortization'!S29,'Debt Amortization'!S71)</f>
        <v>0</v>
      </c>
      <c r="R30" s="425">
        <f>IF('Project Assumptions'!$I$34="Normal",'Debt Amortization'!T29,'Debt Amortization'!T71)</f>
        <v>0</v>
      </c>
      <c r="S30" s="425">
        <f>IF('Project Assumptions'!$I$34="Normal",'Debt Amortization'!U29,'Debt Amortization'!U71)</f>
        <v>0</v>
      </c>
      <c r="T30" s="425">
        <f>IF('Project Assumptions'!$I$34="Normal",'Debt Amortization'!V29,'Debt Amortization'!V71)</f>
        <v>0</v>
      </c>
      <c r="U30" s="425">
        <f>IF('Project Assumptions'!$I$34="Normal",'Debt Amortization'!W29,'Debt Amortization'!W71)</f>
        <v>0</v>
      </c>
      <c r="V30" s="425">
        <f>IF('Project Assumptions'!$I$34="Normal",'Debt Amortization'!X29,'Debt Amortization'!X71)</f>
        <v>0</v>
      </c>
      <c r="W30" s="425">
        <f>IF('Project Assumptions'!$I$34="Normal",'Debt Amortization'!Y29,'Debt Amortization'!Y71)</f>
        <v>0</v>
      </c>
      <c r="X30" s="425">
        <f>IF('Project Assumptions'!$I$34="Normal",'Debt Amortization'!Z29,'Debt Amortization'!Z71)</f>
        <v>0</v>
      </c>
      <c r="Y30" s="425">
        <f>IF('Project Assumptions'!$I$34="Normal",'Debt Amortization'!AA29,'Debt Amortization'!AA71)</f>
        <v>0</v>
      </c>
      <c r="Z30" s="425">
        <f>IF('Project Assumptions'!$I$34="Normal",'Debt Amortization'!AB29,'Debt Amortization'!AB71)</f>
        <v>0</v>
      </c>
      <c r="AA30" s="637">
        <f>IF('Project Assumptions'!$I$34="Normal",'Debt Amortization'!AC29,'Debt Amortization'!AC71)</f>
        <v>0</v>
      </c>
    </row>
    <row r="31" spans="1:29" s="34" customFormat="1" ht="12.6" customHeight="1">
      <c r="A31" s="420" t="s">
        <v>268</v>
      </c>
      <c r="B31" s="33"/>
      <c r="C31" s="681">
        <f>IF(C30&lt;1, "N/A",'Book Income Statement'!D65/C30)</f>
        <v>1.61496462697493</v>
      </c>
      <c r="D31" s="681">
        <f>IF(D30&lt;1, "N/A", +'Book Income Statement'!E65/D30)</f>
        <v>2.9617410766586332</v>
      </c>
      <c r="E31" s="681">
        <f>IF(E30&lt;1, "N/A", +'Book Income Statement'!F65/E30)</f>
        <v>3.1286789333278562</v>
      </c>
      <c r="F31" s="681">
        <f>IF(F30&lt;1, "N/A", +'Book Income Statement'!G65/F30)</f>
        <v>4.5818118026914219</v>
      </c>
      <c r="G31" s="681" t="str">
        <f>IF(G30&lt;1, "N/A", +'Book Income Statement'!H65/G30)</f>
        <v>N/A</v>
      </c>
      <c r="H31" s="681" t="str">
        <f>IF(H30&lt;1, "N/A", +'Book Income Statement'!I65/H30)</f>
        <v>N/A</v>
      </c>
      <c r="I31" s="681" t="str">
        <f>IF(I30&lt;1, "N/A", +'Book Income Statement'!J65/I30)</f>
        <v>N/A</v>
      </c>
      <c r="J31" s="681" t="str">
        <f>IF(J30&lt;1, "N/A", +'Book Income Statement'!K65/J30)</f>
        <v>N/A</v>
      </c>
      <c r="K31" s="681" t="str">
        <f>IF(K30&lt;1, "N/A", +'Book Income Statement'!L65/K30)</f>
        <v>N/A</v>
      </c>
      <c r="L31" s="681" t="str">
        <f>IF(L30&lt;1, "N/A", +'Book Income Statement'!M65/L30)</f>
        <v>N/A</v>
      </c>
      <c r="M31" s="681" t="str">
        <f>IF(M30&lt;1, "N/A", +'Book Income Statement'!N65/M30)</f>
        <v>N/A</v>
      </c>
      <c r="N31" s="681" t="str">
        <f>IF(N30&lt;1, "N/A", +'Book Income Statement'!O65/N30)</f>
        <v>N/A</v>
      </c>
      <c r="O31" s="681" t="str">
        <f>IF(O30&lt;1, "N/A", +'Book Income Statement'!P65/O30)</f>
        <v>N/A</v>
      </c>
      <c r="P31" s="681" t="str">
        <f>IF(P30&lt;1, "N/A", +'Book Income Statement'!Q65/P30)</f>
        <v>N/A</v>
      </c>
      <c r="Q31" s="681" t="str">
        <f>IF(Q30&lt;1, "N/A", +'Book Income Statement'!R65/Q30)</f>
        <v>N/A</v>
      </c>
      <c r="R31" s="681" t="str">
        <f>IF(R30&lt;1, "N/A", +'Book Income Statement'!S65/R30)</f>
        <v>N/A</v>
      </c>
      <c r="S31" s="681" t="str">
        <f>IF(S30&lt;1, "N/A", +'Book Income Statement'!T65/S30)</f>
        <v>N/A</v>
      </c>
      <c r="T31" s="681" t="str">
        <f>IF(T30&lt;1, "N/A", +'Book Income Statement'!U65/T30)</f>
        <v>N/A</v>
      </c>
      <c r="U31" s="681" t="str">
        <f>IF(U30&lt;1, "N/A", +'Book Income Statement'!V65/U30)</f>
        <v>N/A</v>
      </c>
      <c r="V31" s="681" t="str">
        <f>IF(V30&lt;1, "N/A", +'Book Income Statement'!W65/V30)</f>
        <v>N/A</v>
      </c>
      <c r="W31" s="681" t="str">
        <f>IF(W30&lt;1, "N/A", +'Book Income Statement'!X65/W30)</f>
        <v>N/A</v>
      </c>
      <c r="X31" s="681" t="str">
        <f>IF(X30&lt;1, "N/A", +'Book Income Statement'!Y65/X30)</f>
        <v>N/A</v>
      </c>
      <c r="Y31" s="681" t="str">
        <f>IF(Y30&lt;1, "N/A", +'Book Income Statement'!Z65/Y30)</f>
        <v>N/A</v>
      </c>
      <c r="Z31" s="681" t="str">
        <f>IF(Z30&lt;1, "N/A", +'Book Income Statement'!AA65/Z30)</f>
        <v>N/A</v>
      </c>
      <c r="AA31" s="682" t="str">
        <f>IF(AA30&lt;1, "N/A", +'Book Income Statement'!AB65/AA30)</f>
        <v>N/A</v>
      </c>
    </row>
    <row r="32" spans="1:29" s="34" customFormat="1" ht="12.6" customHeight="1">
      <c r="A32" s="420" t="s">
        <v>112</v>
      </c>
      <c r="B32" s="33"/>
      <c r="C32" s="524">
        <f>($B$29-IF('Project Assumptions'!$I$34="Normal",SUM('Debt Amortization'!$E$28:E28),SUM('Debt Amortization'!$E$70:E70)))/$B$29</f>
        <v>0.75</v>
      </c>
      <c r="D32" s="524">
        <f>($B$29-IF('Project Assumptions'!$I$34="Normal",SUM('Debt Amortization'!$E$28:F28),SUM('Debt Amortization'!$E$70:F70)))/$B$29</f>
        <v>0.5</v>
      </c>
      <c r="E32" s="524">
        <f>($B$29-IF('Project Assumptions'!$I$34="Normal",SUM('Debt Amortization'!$E$28:G28),SUM('Debt Amortization'!$E$70:G70)))/$B$29</f>
        <v>0.25</v>
      </c>
      <c r="F32" s="524">
        <f>($B$29-IF('Project Assumptions'!$I$34="Normal",SUM('Debt Amortization'!$E$28:H28),SUM('Debt Amortization'!$E$70:H70)))/$B$29</f>
        <v>0</v>
      </c>
      <c r="G32" s="524">
        <f>($B$29-IF('Project Assumptions'!$I$34="Normal",SUM('Debt Amortization'!$E$28:I28),SUM('Debt Amortization'!$E$70:I70)))/$B$29</f>
        <v>0</v>
      </c>
      <c r="H32" s="524">
        <f>($B$29-IF('Project Assumptions'!$I$34="Normal",SUM('Debt Amortization'!$E$28:J28),SUM('Debt Amortization'!$E$70:J70)))/$B$29</f>
        <v>0</v>
      </c>
      <c r="I32" s="524">
        <f>($B$29-IF('Project Assumptions'!$I$34="Normal",SUM('Debt Amortization'!$E$28:K28),SUM('Debt Amortization'!$E$70:K70)))/$B$29</f>
        <v>0</v>
      </c>
      <c r="J32" s="524">
        <f>($B$29-IF('Project Assumptions'!$I$34="Normal",SUM('Debt Amortization'!$E$28:L28),SUM('Debt Amortization'!$E$70:L70)))/$B$29</f>
        <v>0</v>
      </c>
      <c r="K32" s="524">
        <f>($B$29-IF('Project Assumptions'!$I$34="Normal",SUM('Debt Amortization'!$E$28:M28),SUM('Debt Amortization'!$E$70:M70)))/$B$29</f>
        <v>0</v>
      </c>
      <c r="L32" s="524">
        <f>($B$29-IF('Project Assumptions'!$I$34="Normal",SUM('Debt Amortization'!$E$28:N28),SUM('Debt Amortization'!$E$70:N70)))/$B$29</f>
        <v>0</v>
      </c>
      <c r="M32" s="524">
        <f>($B$29-IF('Project Assumptions'!$I$34="Normal",SUM('Debt Amortization'!$E$28:O28),SUM('Debt Amortization'!$E$70:O70)))/$B$29</f>
        <v>0</v>
      </c>
      <c r="N32" s="524">
        <f>($B$29-IF('Project Assumptions'!$I$34="Normal",SUM('Debt Amortization'!$E$28:P28),SUM('Debt Amortization'!$E$70:P70)))/$B$29</f>
        <v>0</v>
      </c>
      <c r="O32" s="524">
        <f>($B$29-IF('Project Assumptions'!$I$34="Normal",SUM('Debt Amortization'!$E$28:Q28),SUM('Debt Amortization'!$E$70:Q70)))/$B$29</f>
        <v>0</v>
      </c>
      <c r="P32" s="524">
        <f>($B$29-IF('Project Assumptions'!$I$34="Normal",SUM('Debt Amortization'!$E$28:R28),SUM('Debt Amortization'!$E$70:R70)))/$B$29</f>
        <v>0</v>
      </c>
      <c r="Q32" s="524">
        <f>($B$29-IF('Project Assumptions'!$I$34="Normal",SUM('Debt Amortization'!$E$28:S28),SUM('Debt Amortization'!$E$70:S70)))/$B$29</f>
        <v>0</v>
      </c>
      <c r="R32" s="524">
        <f>($B$29-IF('Project Assumptions'!$I$34="Normal",SUM('Debt Amortization'!$E$28:T28),SUM('Debt Amortization'!$E$70:T70)))/$B$29</f>
        <v>0</v>
      </c>
      <c r="S32" s="524">
        <f>($B$29-IF('Project Assumptions'!$I$34="Normal",SUM('Debt Amortization'!$E$28:U28),SUM('Debt Amortization'!$E$70:U70)))/$B$29</f>
        <v>0</v>
      </c>
      <c r="T32" s="524">
        <f>($B$29-IF('Project Assumptions'!$I$34="Normal",SUM('Debt Amortization'!$E$28:V28),SUM('Debt Amortization'!$E$70:V70)))/$B$29</f>
        <v>0</v>
      </c>
      <c r="U32" s="524">
        <f>($B$29-IF('Project Assumptions'!$I$34="Normal",SUM('Debt Amortization'!$E$28:W28),SUM('Debt Amortization'!$E$70:W70)))/$B$29</f>
        <v>0</v>
      </c>
      <c r="V32" s="524">
        <f>($B$29-IF('Project Assumptions'!$I$34="Normal",SUM('Debt Amortization'!$E$28:X28),SUM('Debt Amortization'!$E$70:X70)))/$B$29</f>
        <v>0</v>
      </c>
      <c r="W32" s="524">
        <f>($B$29-IF('Project Assumptions'!$I$34="Normal",SUM('Debt Amortization'!$E$28:Y28),SUM('Debt Amortization'!$E$70:Y70)))/$B$29</f>
        <v>0</v>
      </c>
      <c r="X32" s="524">
        <f>($B$29-IF('Project Assumptions'!$I$34="Normal",SUM('Debt Amortization'!$E$28:Z28),SUM('Debt Amortization'!$E$70:Z70)))/$B$29</f>
        <v>0</v>
      </c>
      <c r="Y32" s="524">
        <f>($B$29-IF('Project Assumptions'!$I$34="Normal",SUM('Debt Amortization'!$E$28:AA28),SUM('Debt Amortization'!$E$70:AA70)))/$B$29</f>
        <v>0</v>
      </c>
      <c r="Z32" s="524">
        <f>($B$29-IF('Project Assumptions'!$I$34="Normal",SUM('Debt Amortization'!$E$28:AB28),SUM('Debt Amortization'!$E$70:AB70)))/$B$29</f>
        <v>0</v>
      </c>
      <c r="AA32" s="683">
        <f>($B$29-IF('Project Assumptions'!$I$34="Normal",SUM('Debt Amortization'!$E$28:AC28),SUM('Debt Amortization'!$E$70:AC70)))/$B$29</f>
        <v>0</v>
      </c>
    </row>
    <row r="33" spans="1:27" s="34" customFormat="1" ht="12.6" customHeight="1">
      <c r="A33" s="420"/>
      <c r="B33" s="33"/>
      <c r="C33" s="524"/>
      <c r="D33" s="524"/>
      <c r="E33" s="524"/>
      <c r="F33" s="524"/>
      <c r="G33" s="524"/>
      <c r="H33" s="524"/>
      <c r="I33" s="524"/>
      <c r="J33" s="524"/>
      <c r="K33" s="524"/>
      <c r="L33" s="524"/>
      <c r="M33" s="524"/>
      <c r="N33" s="524"/>
      <c r="O33" s="524"/>
      <c r="P33" s="524"/>
      <c r="Q33" s="524"/>
      <c r="R33" s="524"/>
      <c r="S33" s="524"/>
      <c r="T33" s="524"/>
      <c r="U33" s="524"/>
      <c r="V33" s="524"/>
      <c r="W33" s="524"/>
      <c r="X33" s="524"/>
      <c r="Y33" s="524"/>
      <c r="Z33" s="524"/>
      <c r="AA33" s="683"/>
    </row>
    <row r="34" spans="1:27" s="34" customFormat="1" ht="12.6" customHeight="1">
      <c r="A34" s="418" t="s">
        <v>114</v>
      </c>
      <c r="B34" s="425">
        <f>IF('Project Assumptions'!$I$34="Normal",'Debt Amortization'!B20,'Debt Amortization'!C82)</f>
        <v>54410</v>
      </c>
      <c r="C34" s="679"/>
      <c r="D34" s="679"/>
      <c r="E34" s="679"/>
      <c r="F34" s="679"/>
      <c r="G34" s="679"/>
      <c r="H34" s="679"/>
      <c r="I34" s="679"/>
      <c r="J34" s="679"/>
      <c r="K34" s="679"/>
      <c r="L34" s="679"/>
      <c r="M34" s="679"/>
      <c r="N34" s="679"/>
      <c r="O34" s="679"/>
      <c r="P34" s="679"/>
      <c r="Q34" s="679"/>
      <c r="R34" s="679"/>
      <c r="S34" s="679"/>
      <c r="T34" s="679"/>
      <c r="U34" s="679"/>
      <c r="V34" s="679"/>
      <c r="W34" s="679"/>
      <c r="X34" s="679"/>
      <c r="Y34" s="679"/>
      <c r="Z34" s="679"/>
      <c r="AA34" s="680"/>
    </row>
    <row r="35" spans="1:27" s="34" customFormat="1" ht="12.6" customHeight="1">
      <c r="A35" s="420" t="s">
        <v>113</v>
      </c>
      <c r="B35" s="33"/>
      <c r="C35" s="425">
        <f>IF('Project Assumptions'!$I$34="Normal",'Debt Amortization'!E37,'Debt Amortization'!E85)</f>
        <v>4118.8370000000004</v>
      </c>
      <c r="D35" s="425">
        <f>IF('Project Assumptions'!$I$34="Normal",'Debt Amortization'!F37,'Debt Amortization'!F85)</f>
        <v>4118.8370000000004</v>
      </c>
      <c r="E35" s="425">
        <f>IF('Project Assumptions'!$I$34="Normal",'Debt Amortization'!G37,'Debt Amortization'!G85)</f>
        <v>6839.3370000000004</v>
      </c>
      <c r="F35" s="425">
        <f>IF('Project Assumptions'!$I$34="Normal",'Debt Amortization'!H37,'Debt Amortization'!H85)</f>
        <v>9353.8951500000003</v>
      </c>
      <c r="G35" s="425">
        <f>IF('Project Assumptions'!$I$34="Normal",'Debt Amortization'!I37,'Debt Amortization'!I85)</f>
        <v>8942.01145</v>
      </c>
      <c r="H35" s="425">
        <f>IF('Project Assumptions'!$I$34="Normal",'Debt Amortization'!J37,'Debt Amortization'!J85)</f>
        <v>8530.1277499999997</v>
      </c>
      <c r="I35" s="425">
        <f>IF('Project Assumptions'!$I$34="Normal",'Debt Amortization'!K37,'Debt Amortization'!K85)</f>
        <v>8118.2440500000002</v>
      </c>
      <c r="J35" s="425">
        <f>IF('Project Assumptions'!$I$34="Normal",'Debt Amortization'!L37,'Debt Amortization'!L85)</f>
        <v>7706.3603499999999</v>
      </c>
      <c r="K35" s="425">
        <f>IF('Project Assumptions'!$I$34="Normal",'Debt Amortization'!M37,'Debt Amortization'!M85)</f>
        <v>12735.476650000001</v>
      </c>
      <c r="L35" s="425">
        <f>IF('Project Assumptions'!$I$34="Normal",'Debt Amortization'!N37,'Debt Amortization'!N85)</f>
        <v>14632.20925</v>
      </c>
      <c r="M35" s="425">
        <f>IF('Project Assumptions'!$I$34="Normal",'Debt Amortization'!O37,'Debt Amortization'!O85)</f>
        <v>0</v>
      </c>
      <c r="N35" s="425">
        <f>IF('Project Assumptions'!$I$34="Normal",'Debt Amortization'!P37,'Debt Amortization'!P85)</f>
        <v>0</v>
      </c>
      <c r="O35" s="425">
        <f>IF('Project Assumptions'!$I$34="Normal",'Debt Amortization'!Q37,'Debt Amortization'!Q85)</f>
        <v>0</v>
      </c>
      <c r="P35" s="425">
        <f>IF('Project Assumptions'!$I$34="Normal",'Debt Amortization'!R37,'Debt Amortization'!R85)</f>
        <v>0</v>
      </c>
      <c r="Q35" s="425">
        <f>IF('Project Assumptions'!$I$34="Normal",'Debt Amortization'!S37,'Debt Amortization'!S85)</f>
        <v>0</v>
      </c>
      <c r="R35" s="425">
        <f>IF('Project Assumptions'!$I$34="Normal",'Debt Amortization'!T37,'Debt Amortization'!T85)</f>
        <v>0</v>
      </c>
      <c r="S35" s="425">
        <f>IF('Project Assumptions'!$I$34="Normal",'Debt Amortization'!U37,'Debt Amortization'!U85)</f>
        <v>0</v>
      </c>
      <c r="T35" s="425">
        <f>IF('Project Assumptions'!$I$34="Normal",'Debt Amortization'!V37,'Debt Amortization'!V85)</f>
        <v>0</v>
      </c>
      <c r="U35" s="425">
        <f>IF('Project Assumptions'!$I$34="Normal",'Debt Amortization'!W37,'Debt Amortization'!W85)</f>
        <v>0</v>
      </c>
      <c r="V35" s="425">
        <f>IF('Project Assumptions'!$I$34="Normal",'Debt Amortization'!X37,'Debt Amortization'!X85)</f>
        <v>0</v>
      </c>
      <c r="W35" s="425">
        <f>IF('Project Assumptions'!$I$34="Normal",'Debt Amortization'!Y37,'Debt Amortization'!Y85)</f>
        <v>0</v>
      </c>
      <c r="X35" s="425">
        <f>IF('Project Assumptions'!$I$34="Normal",'Debt Amortization'!Z37,'Debt Amortization'!Z85)</f>
        <v>0</v>
      </c>
      <c r="Y35" s="425">
        <f>IF('Project Assumptions'!$I$34="Normal",'Debt Amortization'!AA37,'Debt Amortization'!AA85)</f>
        <v>0</v>
      </c>
      <c r="Z35" s="425">
        <f>IF('Project Assumptions'!$I$34="Normal",'Debt Amortization'!AB37,'Debt Amortization'!AB85)</f>
        <v>0</v>
      </c>
      <c r="AA35" s="637">
        <f>IF('Project Assumptions'!$I$34="Normal",'Debt Amortization'!AC37,'Debt Amortization'!AC85)</f>
        <v>0</v>
      </c>
    </row>
    <row r="36" spans="1:27" s="34" customFormat="1" ht="12.6" customHeight="1">
      <c r="A36" s="420" t="s">
        <v>268</v>
      </c>
      <c r="B36" s="33"/>
      <c r="C36" s="681">
        <f>IF(C35&lt;1, "N/A",'Book Income Statement'!D65/C35)</f>
        <v>3.6792039622502521</v>
      </c>
      <c r="D36" s="681">
        <f>IF(D35&lt;1, "N/A",'Book Income Statement'!E65/D35)</f>
        <v>6.3896373547232468</v>
      </c>
      <c r="E36" s="681">
        <f>IF(E35&lt;1, "N/A",'Book Income Statement'!F65/E35)</f>
        <v>3.8372948031853347</v>
      </c>
      <c r="F36" s="681">
        <f>IF(F35&lt;1, "N/A",'Book Income Statement'!G65/F35)</f>
        <v>3.865152649446586</v>
      </c>
      <c r="G36" s="681">
        <f>IF(G35&lt;1, "N/A",'Book Income Statement'!H65/G35)</f>
        <v>4.9027443393192085</v>
      </c>
      <c r="H36" s="681">
        <f>IF(H35&lt;1, "N/A",'Book Income Statement'!I65/H35)</f>
        <v>5.3000124944407583</v>
      </c>
      <c r="I36" s="681">
        <f>IF(I35&lt;1, "N/A",'Book Income Statement'!J65/I35)</f>
        <v>5.5377410408636116</v>
      </c>
      <c r="J36" s="681">
        <f>IF(J35&lt;1, "N/A",'Book Income Statement'!K65/J35)</f>
        <v>5.9018684654587839</v>
      </c>
      <c r="K36" s="681">
        <f>IF(K35&lt;1, "N/A",'Book Income Statement'!L65/K35)</f>
        <v>3.6117878246224646</v>
      </c>
      <c r="L36" s="681">
        <f>IF(L35&lt;1, "N/A",'Book Income Statement'!M65/L35)</f>
        <v>3.1810255400255971</v>
      </c>
      <c r="M36" s="681" t="str">
        <f>IF(M35&lt;1, "N/A",'Book Income Statement'!N65/M35)</f>
        <v>N/A</v>
      </c>
      <c r="N36" s="681" t="str">
        <f>IF(N35&lt;1, "N/A",'Book Income Statement'!O65/N35)</f>
        <v>N/A</v>
      </c>
      <c r="O36" s="681" t="str">
        <f>IF(O35&lt;1, "N/A",'Book Income Statement'!P65/O35)</f>
        <v>N/A</v>
      </c>
      <c r="P36" s="681" t="str">
        <f>IF(P35&lt;1, "N/A",'Book Income Statement'!Q65/P35)</f>
        <v>N/A</v>
      </c>
      <c r="Q36" s="681" t="str">
        <f>IF(Q35&lt;1, "N/A",'Book Income Statement'!R65/Q35)</f>
        <v>N/A</v>
      </c>
      <c r="R36" s="681" t="str">
        <f>IF(R35&lt;1, "N/A",'Book Income Statement'!S65/R35)</f>
        <v>N/A</v>
      </c>
      <c r="S36" s="681" t="str">
        <f>IF(S35&lt;1, "N/A",'Book Income Statement'!T65/S35)</f>
        <v>N/A</v>
      </c>
      <c r="T36" s="681" t="str">
        <f>IF(T35&lt;1, "N/A",'Book Income Statement'!U65/T35)</f>
        <v>N/A</v>
      </c>
      <c r="U36" s="681" t="str">
        <f>IF(U35&lt;1, "N/A",'Book Income Statement'!V65/U35)</f>
        <v>N/A</v>
      </c>
      <c r="V36" s="681" t="str">
        <f>IF(V35&lt;1, "N/A",'Book Income Statement'!W65/V35)</f>
        <v>N/A</v>
      </c>
      <c r="W36" s="681" t="str">
        <f>IF(W35&lt;1, "N/A",'Book Income Statement'!X65/W35)</f>
        <v>N/A</v>
      </c>
      <c r="X36" s="681" t="str">
        <f>IF(X35&lt;1, "N/A",'Book Income Statement'!Y65/X35)</f>
        <v>N/A</v>
      </c>
      <c r="Y36" s="681" t="str">
        <f>IF(Y35&lt;1, "N/A",'Book Income Statement'!Z65/Y35)</f>
        <v>N/A</v>
      </c>
      <c r="Z36" s="681" t="str">
        <f>IF(Z35&lt;1, "N/A",'Book Income Statement'!AA65/Z35)</f>
        <v>N/A</v>
      </c>
      <c r="AA36" s="682" t="str">
        <f>IF(AA35&lt;1, "N/A",'Book Income Statement'!AB65/AA35)</f>
        <v>N/A</v>
      </c>
    </row>
    <row r="37" spans="1:27" s="34" customFormat="1" ht="12.6" customHeight="1">
      <c r="A37" s="420" t="s">
        <v>112</v>
      </c>
      <c r="B37" s="33"/>
      <c r="C37" s="524">
        <f>IF($B$34&gt;0,(($B$34-IF('Project Assumptions'!$I$34="Normal",SUM('Debt Amortization'!$E$36:E36),SUM('Debt Amortization'!$E$84:E84)))/$B$34),0)</f>
        <v>1</v>
      </c>
      <c r="D37" s="524">
        <f>IF($B$34&gt;0,(($B$34-IF('Project Assumptions'!$I$34="Normal",SUM('Debt Amortization'!$E$36:F36),SUM('Debt Amortization'!$E$84:F84)))/$B$34),0)</f>
        <v>1</v>
      </c>
      <c r="E37" s="524">
        <f>IF($B$34&gt;0,(($B$34-IF('Project Assumptions'!$I$34="Normal",SUM('Debt Amortization'!$E$36:G36),SUM('Debt Amortization'!$E$84:G84)))/$B$34),0)</f>
        <v>0.95</v>
      </c>
      <c r="F37" s="524">
        <f>IF($B$34&gt;0,(($B$34-IF('Project Assumptions'!$I$34="Normal",SUM('Debt Amortization'!$E$36:H36),SUM('Debt Amortization'!$E$84:H84)))/$B$34),0)</f>
        <v>0.85</v>
      </c>
      <c r="G37" s="524">
        <f>IF($B$34&gt;0,(($B$34-IF('Project Assumptions'!$I$34="Normal",SUM('Debt Amortization'!$E$36:I36),SUM('Debt Amortization'!$E$84:I84)))/$B$34),0)</f>
        <v>0.75</v>
      </c>
      <c r="H37" s="524">
        <f>IF($B$34&gt;0,(($B$34-IF('Project Assumptions'!$I$34="Normal",SUM('Debt Amortization'!$E$36:J36),SUM('Debt Amortization'!$E$84:J84)))/$B$34),0)</f>
        <v>0.65</v>
      </c>
      <c r="I37" s="524">
        <f>IF($B$34&gt;0,(($B$34-IF('Project Assumptions'!$I$34="Normal",SUM('Debt Amortization'!$E$36:K36),SUM('Debt Amortization'!$E$84:K84)))/$B$34),0)</f>
        <v>0.55000000000000004</v>
      </c>
      <c r="J37" s="524">
        <f>IF($B$34&gt;0,(($B$34-IF('Project Assumptions'!$I$34="Normal",SUM('Debt Amortization'!$E$36:L36),SUM('Debt Amortization'!$E$84:L84)))/$B$34),0)</f>
        <v>0.45</v>
      </c>
      <c r="K37" s="524">
        <f>IF($B$34&gt;0,(($B$34-IF('Project Assumptions'!$I$34="Normal",SUM('Debt Amortization'!$E$36:M36),SUM('Debt Amortization'!$E$84:M84)))/$B$34),0)</f>
        <v>0.25</v>
      </c>
      <c r="L37" s="524">
        <f>IF($B$34&gt;0,(($B$34-IF('Project Assumptions'!$I$34="Normal",SUM('Debt Amortization'!$E$36:N36),SUM('Debt Amortization'!$E$84:N84)))/$B$34),0)</f>
        <v>0</v>
      </c>
      <c r="M37" s="524">
        <f>IF($B$34&gt;0,(($B$34-IF('Project Assumptions'!$I$34="Normal",SUM('Debt Amortization'!$E$36:O36),SUM('Debt Amortization'!$E$84:O84)))/$B$34),0)</f>
        <v>0</v>
      </c>
      <c r="N37" s="524">
        <f>IF($B$34&gt;0,(($B$34-IF('Project Assumptions'!$I$34="Normal",SUM('Debt Amortization'!$E$36:P36),SUM('Debt Amortization'!$E$84:P84)))/$B$34),0)</f>
        <v>0</v>
      </c>
      <c r="O37" s="524">
        <f>IF($B$34&gt;0,(($B$34-IF('Project Assumptions'!$I$34="Normal",SUM('Debt Amortization'!$E$36:Q36),SUM('Debt Amortization'!$E$84:Q84)))/$B$34),0)</f>
        <v>0</v>
      </c>
      <c r="P37" s="524">
        <f>IF($B$34&gt;0,(($B$34-IF('Project Assumptions'!$I$34="Normal",SUM('Debt Amortization'!$E$36:R36),SUM('Debt Amortization'!$E$84:R84)))/$B$34),0)</f>
        <v>0</v>
      </c>
      <c r="Q37" s="524">
        <f>IF($B$34&gt;0,(($B$34-IF('Project Assumptions'!$I$34="Normal",SUM('Debt Amortization'!$E$36:S36),SUM('Debt Amortization'!$E$84:S84)))/$B$34),0)</f>
        <v>0</v>
      </c>
      <c r="R37" s="524">
        <f>IF($B$34&gt;0,(($B$34-IF('Project Assumptions'!$I$34="Normal",SUM('Debt Amortization'!$E$36:T36),SUM('Debt Amortization'!$E$84:T84)))/$B$34),0)</f>
        <v>0</v>
      </c>
      <c r="S37" s="524">
        <f>IF($B$34&gt;0,(($B$34-IF('Project Assumptions'!$I$34="Normal",SUM('Debt Amortization'!$E$36:U36),SUM('Debt Amortization'!$E$84:U84)))/$B$34),0)</f>
        <v>0</v>
      </c>
      <c r="T37" s="524">
        <f>IF($B$34&gt;0,(($B$34-IF('Project Assumptions'!$I$34="Normal",SUM('Debt Amortization'!$E$36:V36),SUM('Debt Amortization'!$E$84:V84)))/$B$34),0)</f>
        <v>0</v>
      </c>
      <c r="U37" s="524">
        <f>IF($B$34&gt;0,(($B$34-IF('Project Assumptions'!$I$34="Normal",SUM('Debt Amortization'!$E$36:W36),SUM('Debt Amortization'!$E$84:W84)))/$B$34),0)</f>
        <v>0</v>
      </c>
      <c r="V37" s="524">
        <f>IF($B$34&gt;0,(($B$34-IF('Project Assumptions'!$I$34="Normal",SUM('Debt Amortization'!$E$36:X36),SUM('Debt Amortization'!$E$84:X84)))/$B$34),0)</f>
        <v>0</v>
      </c>
      <c r="W37" s="524">
        <f>IF($B$34&gt;0,(($B$34-IF('Project Assumptions'!$I$34="Normal",SUM('Debt Amortization'!$E$36:Y36),SUM('Debt Amortization'!$E$84:Y84)))/$B$34),0)</f>
        <v>0</v>
      </c>
      <c r="X37" s="524">
        <f>IF($B$34&gt;0,(($B$34-IF('Project Assumptions'!$I$34="Normal",SUM('Debt Amortization'!$E$36:Z36),SUM('Debt Amortization'!$E$84:Z84)))/$B$34),0)</f>
        <v>0</v>
      </c>
      <c r="Y37" s="524">
        <f>IF($B$34&gt;0,(($B$34-IF('Project Assumptions'!$I$34="Normal",SUM('Debt Amortization'!$E$36:AA36),SUM('Debt Amortization'!$E$84:AA84)))/$B$34),0)</f>
        <v>0</v>
      </c>
      <c r="Z37" s="524">
        <f>IF($B$34&gt;0,(($B$34-IF('Project Assumptions'!$I$34="Normal",SUM('Debt Amortization'!$E$36:AB36),SUM('Debt Amortization'!$E$84:AB84)))/$B$34),0)</f>
        <v>0</v>
      </c>
      <c r="AA37" s="683">
        <f>IF($B$34&gt;0,(($B$34-IF('Project Assumptions'!$I$34="Normal",SUM('Debt Amortization'!$E$36:AC36),SUM('Debt Amortization'!$E$84:AC84)))/$B$34),0)</f>
        <v>0</v>
      </c>
    </row>
    <row r="38" spans="1:27" s="34" customFormat="1" ht="11.25">
      <c r="A38" s="420"/>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414"/>
    </row>
    <row r="39" spans="1:27" s="34" customFormat="1" ht="12.6" customHeight="1">
      <c r="A39" s="418" t="s">
        <v>187</v>
      </c>
      <c r="B39" s="425">
        <f>IF('Project Assumptions'!$I$34="Normal",'Debt Amortization'!B21,'Debt Amortization'!C96)</f>
        <v>98814</v>
      </c>
      <c r="C39" s="679"/>
      <c r="D39" s="679"/>
      <c r="E39" s="679"/>
      <c r="F39" s="679"/>
      <c r="G39" s="679"/>
      <c r="H39" s="679"/>
      <c r="I39" s="679"/>
      <c r="J39" s="679"/>
      <c r="K39" s="679"/>
      <c r="L39" s="679"/>
      <c r="M39" s="679"/>
      <c r="N39" s="679"/>
      <c r="O39" s="679"/>
      <c r="P39" s="679"/>
      <c r="Q39" s="679"/>
      <c r="R39" s="679"/>
      <c r="S39" s="679"/>
      <c r="T39" s="679"/>
      <c r="U39" s="679"/>
      <c r="V39" s="679"/>
      <c r="W39" s="679"/>
      <c r="X39" s="679"/>
      <c r="Y39" s="679"/>
      <c r="Z39" s="679"/>
      <c r="AA39" s="680"/>
    </row>
    <row r="40" spans="1:27" s="34" customFormat="1" ht="12.6" customHeight="1">
      <c r="A40" s="420" t="s">
        <v>113</v>
      </c>
      <c r="B40" s="33"/>
      <c r="C40" s="425">
        <f>IF('Project Assumptions'!$I$34="Normal",'Debt Amortization'!E45,'Debt Amortization'!E99)</f>
        <v>8082.9852000000001</v>
      </c>
      <c r="D40" s="425">
        <f>IF('Project Assumptions'!$I$34="Normal",'Debt Amortization'!F45,'Debt Amortization'!F99)</f>
        <v>8082.9852000000001</v>
      </c>
      <c r="E40" s="425">
        <f>IF('Project Assumptions'!$I$34="Normal",'Debt Amortization'!G45,'Debt Amortization'!G99)</f>
        <v>8082.9852000000001</v>
      </c>
      <c r="F40" s="425">
        <f>IF('Project Assumptions'!$I$34="Normal",'Debt Amortization'!H45,'Debt Amortization'!H99)</f>
        <v>8082.9852000000001</v>
      </c>
      <c r="G40" s="425">
        <f>IF('Project Assumptions'!$I$34="Normal",'Debt Amortization'!I45,'Debt Amortization'!I99)</f>
        <v>10059.2652</v>
      </c>
      <c r="H40" s="425">
        <f>IF('Project Assumptions'!$I$34="Normal",'Debt Amortization'!J45,'Debt Amortization'!J99)</f>
        <v>9897.6054960000001</v>
      </c>
      <c r="I40" s="425">
        <f>IF('Project Assumptions'!$I$34="Normal",'Debt Amortization'!K45,'Debt Amortization'!K99)</f>
        <v>10724.085792</v>
      </c>
      <c r="J40" s="425">
        <f>IF('Project Assumptions'!$I$34="Normal",'Debt Amortization'!L45,'Debt Amortization'!L99)</f>
        <v>10481.596236000001</v>
      </c>
      <c r="K40" s="425">
        <f>IF('Project Assumptions'!$I$34="Normal",'Debt Amortization'!M45,'Debt Amortization'!M99)</f>
        <v>10239.106680000001</v>
      </c>
      <c r="L40" s="425">
        <f>IF('Project Assumptions'!$I$34="Normal",'Debt Amortization'!N45,'Debt Amortization'!N99)</f>
        <v>10984.757124</v>
      </c>
      <c r="M40" s="425">
        <f>IF('Project Assumptions'!$I$34="Normal",'Debt Amortization'!O45,'Debt Amortization'!O99)</f>
        <v>10661.437716</v>
      </c>
      <c r="N40" s="425">
        <f>IF('Project Assumptions'!$I$34="Normal",'Debt Amortization'!P45,'Debt Amortization'!P99)</f>
        <v>11326.258308</v>
      </c>
      <c r="O40" s="425">
        <f>IF('Project Assumptions'!$I$34="Normal",'Debt Amortization'!Q45,'Debt Amortization'!Q99)</f>
        <v>10922.109048000002</v>
      </c>
      <c r="P40" s="425">
        <f>IF('Project Assumptions'!$I$34="Normal",'Debt Amortization'!R45,'Debt Amortization'!R99)</f>
        <v>10517.959788000002</v>
      </c>
      <c r="Q40" s="425">
        <f>IF('Project Assumptions'!$I$34="Normal",'Debt Amortization'!S45,'Debt Amortization'!S99)</f>
        <v>10113.810528000002</v>
      </c>
      <c r="R40" s="425">
        <f>IF('Project Assumptions'!$I$34="Normal",'Debt Amortization'!T45,'Debt Amortization'!T99)</f>
        <v>9709.6612680000035</v>
      </c>
      <c r="S40" s="425">
        <f>IF('Project Assumptions'!$I$34="Normal",'Debt Amortization'!U45,'Debt Amortization'!U99)</f>
        <v>14246.212008000002</v>
      </c>
      <c r="T40" s="425">
        <f>IF('Project Assumptions'!$I$34="Normal",'Debt Amortization'!V45,'Debt Amortization'!V99)</f>
        <v>15414.193488000003</v>
      </c>
      <c r="U40" s="425">
        <f>IF('Project Assumptions'!$I$34="Normal",'Debt Amortization'!W45,'Debt Amortization'!W99)</f>
        <v>17408.655264000001</v>
      </c>
      <c r="V40" s="425">
        <f>IF('Project Assumptions'!$I$34="Normal",'Debt Amortization'!X45,'Debt Amortization'!X99)</f>
        <v>18172.487484000005</v>
      </c>
      <c r="W40" s="425">
        <f>IF('Project Assumptions'!$I$34="Normal",'Debt Amortization'!Y45,'Debt Amortization'!Y99)</f>
        <v>0</v>
      </c>
      <c r="X40" s="425">
        <f>IF('Project Assumptions'!$I$34="Normal",'Debt Amortization'!Z45,'Debt Amortization'!Z99)</f>
        <v>0</v>
      </c>
      <c r="Y40" s="425">
        <f>IF('Project Assumptions'!$I$34="Normal",'Debt Amortization'!AA45,'Debt Amortization'!AA99)</f>
        <v>0</v>
      </c>
      <c r="Z40" s="425">
        <f>IF('Project Assumptions'!$I$34="Normal",'Debt Amortization'!AB45,'Debt Amortization'!AB99)</f>
        <v>0</v>
      </c>
      <c r="AA40" s="637">
        <f>IF('Project Assumptions'!$I$34="Normal",'Debt Amortization'!AC45,'Debt Amortization'!AC99)</f>
        <v>0</v>
      </c>
    </row>
    <row r="41" spans="1:27" s="34" customFormat="1" ht="12.6" customHeight="1">
      <c r="A41" s="420" t="s">
        <v>268</v>
      </c>
      <c r="B41" s="33"/>
      <c r="C41" s="681">
        <f>+IF(C40&lt;1, "N/A",'Book Income Statement'!D65/C40)</f>
        <v>1.8748075166911036</v>
      </c>
      <c r="D41" s="681">
        <f>+IF(D40&lt;1, "N/A",'Book Income Statement'!E65/D40)</f>
        <v>3.2559597849091988</v>
      </c>
      <c r="E41" s="681">
        <f>+IF(E40&lt;1, "N/A",'Book Income Statement'!F65/E40)</f>
        <v>3.2468885786569519</v>
      </c>
      <c r="F41" s="681">
        <f>+IF(F40&lt;1, "N/A",'Book Income Statement'!G65/F40)</f>
        <v>4.472881209985152</v>
      </c>
      <c r="G41" s="681">
        <f>+IF(G40&lt;1, "N/A",'Book Income Statement'!H65/G40)</f>
        <v>4.3582105796967205</v>
      </c>
      <c r="H41" s="681">
        <f>+IF(H40&lt;1, "N/A",'Book Income Statement'!I65/H40)</f>
        <v>4.5677496109990265</v>
      </c>
      <c r="I41" s="681">
        <f>+IF(I40&lt;1, "N/A",'Book Income Statement'!J65/I40)</f>
        <v>4.1921273409588755</v>
      </c>
      <c r="J41" s="681">
        <f>+IF(J40&lt;1, "N/A",'Book Income Statement'!K65/J40)</f>
        <v>4.3392174349280017</v>
      </c>
      <c r="K41" s="681">
        <f>+IF(K40&lt;1, "N/A",'Book Income Statement'!L65/K40)</f>
        <v>4.4923684206827392</v>
      </c>
      <c r="L41" s="681">
        <f>+IF(L40&lt;1, "N/A",'Book Income Statement'!M65/L40)</f>
        <v>4.2372745073766085</v>
      </c>
      <c r="M41" s="681">
        <f>+IF(M40&lt;1, "N/A",'Book Income Statement'!N65/M40)</f>
        <v>4.4121300115914641</v>
      </c>
      <c r="N41" s="681">
        <f>+IF(N40&lt;1, "N/A",'Book Income Statement'!O65/N40)</f>
        <v>4.1956785746629981</v>
      </c>
      <c r="O41" s="681">
        <f>+IF(O40&lt;1, "N/A",'Book Income Statement'!P65/O40)</f>
        <v>4.393776389409096</v>
      </c>
      <c r="P41" s="681">
        <f>+IF(P40&lt;1, "N/A",'Book Income Statement'!Q65/P40)</f>
        <v>4.6096652027462159</v>
      </c>
      <c r="Q41" s="681">
        <f>+IF(Q40&lt;1, "N/A",'Book Income Statement'!R65/Q40)</f>
        <v>4.8370449199845567</v>
      </c>
      <c r="R41" s="681">
        <f>+IF(R40&lt;1, "N/A",'Book Income Statement'!S65/R40)</f>
        <v>5.0815316616248811</v>
      </c>
      <c r="S41" s="681">
        <f>+IF(S40&lt;1, "N/A",'Book Income Statement'!T65/S40)</f>
        <v>3.4914407368285643</v>
      </c>
      <c r="T41" s="681">
        <f>+IF(T40&lt;1, "N/A",'Book Income Statement'!U65/T40)</f>
        <v>3.2542069716442557</v>
      </c>
      <c r="U41" s="681">
        <f>+IF(U40&lt;1, "N/A",'Book Income Statement'!V65/U40)</f>
        <v>2.9018838510283032</v>
      </c>
      <c r="V41" s="681">
        <f>+IF(V40&lt;1, "N/A",'Book Income Statement'!W65/V40)</f>
        <v>2.7327660087305765</v>
      </c>
      <c r="W41" s="681" t="str">
        <f>+IF(W40&lt;1, "N/A",'Book Income Statement'!X65/W40)</f>
        <v>N/A</v>
      </c>
      <c r="X41" s="681" t="str">
        <f>+IF(X40&lt;1, "N/A",'Book Income Statement'!Y65/X40)</f>
        <v>N/A</v>
      </c>
      <c r="Y41" s="681" t="str">
        <f>+IF(Y40&lt;1, "N/A",'Book Income Statement'!Z65/Y40)</f>
        <v>N/A</v>
      </c>
      <c r="Z41" s="681" t="str">
        <f>+IF(Z40&lt;1, "N/A",'Book Income Statement'!AA65/Z40)</f>
        <v>N/A</v>
      </c>
      <c r="AA41" s="682" t="str">
        <f>+IF(AA40&lt;1, "N/A",'Book Income Statement'!AB65/AA40)</f>
        <v>N/A</v>
      </c>
    </row>
    <row r="42" spans="1:27" s="34" customFormat="1" ht="12.6" customHeight="1">
      <c r="A42" s="452" t="s">
        <v>112</v>
      </c>
      <c r="B42" s="409"/>
      <c r="C42" s="684">
        <f>IF($B$39&gt;0,(($B$39-IF('Project Assumptions'!$I$34="Normal",SUM('Debt Amortization'!$E$44:E44),SUM('Debt Amortization'!$E$98:E98)))/$B$39),0)</f>
        <v>1</v>
      </c>
      <c r="D42" s="684">
        <f>IF($B$39&gt;0,(($B$39-IF('Project Assumptions'!$I$34="Normal",SUM('Debt Amortization'!$E$44:F44),SUM('Debt Amortization'!$E$98:F98)))/$B$39),0)</f>
        <v>1</v>
      </c>
      <c r="E42" s="684">
        <f>IF($B$39&gt;0,(($B$39-IF('Project Assumptions'!$I$34="Normal",SUM('Debt Amortization'!$E$44:G44),SUM('Debt Amortization'!$E$98:G98)))/$B$39),0)</f>
        <v>1</v>
      </c>
      <c r="F42" s="684">
        <f>IF($B$39&gt;0,(($B$39-IF('Project Assumptions'!$I$34="Normal",SUM('Debt Amortization'!$E$44:H44),SUM('Debt Amortization'!$E$98:H98)))/$B$39),0)</f>
        <v>1</v>
      </c>
      <c r="G42" s="684">
        <f>IF($B$39&gt;0,(($B$39-IF('Project Assumptions'!$I$34="Normal",SUM('Debt Amortization'!$E$44:I44),SUM('Debt Amortization'!$E$98:I98)))/$B$39),0)</f>
        <v>0.98</v>
      </c>
      <c r="H42" s="684">
        <f>IF($B$39&gt;0,(($B$39-IF('Project Assumptions'!$I$34="Normal",SUM('Debt Amortization'!$E$44:J44),SUM('Debt Amortization'!$E$98:J98)))/$B$39),0)</f>
        <v>0.96000000000000008</v>
      </c>
      <c r="I42" s="684">
        <f>IF($B$39&gt;0,(($B$39-IF('Project Assumptions'!$I$34="Normal",SUM('Debt Amortization'!$E$44:K44),SUM('Debt Amortization'!$E$98:K98)))/$B$39),0)</f>
        <v>0.93</v>
      </c>
      <c r="J42" s="684">
        <f>IF($B$39&gt;0,(($B$39-IF('Project Assumptions'!$I$34="Normal",SUM('Debt Amortization'!$E$44:L44),SUM('Debt Amortization'!$E$98:L98)))/$B$39),0)</f>
        <v>0.9</v>
      </c>
      <c r="K42" s="684">
        <f>IF($B$39&gt;0,(($B$39-IF('Project Assumptions'!$I$34="Normal",SUM('Debt Amortization'!$E$44:M44),SUM('Debt Amortization'!$E$98:M98)))/$B$39),0)</f>
        <v>0.86999999999999988</v>
      </c>
      <c r="L42" s="684">
        <f>IF($B$39&gt;0,(($B$39-IF('Project Assumptions'!$I$34="Normal",SUM('Debt Amortization'!$E$44:N44),SUM('Debt Amortization'!$E$98:N98)))/$B$39),0)</f>
        <v>0.83</v>
      </c>
      <c r="M42" s="684">
        <f>IF($B$39&gt;0,(($B$39-IF('Project Assumptions'!$I$34="Normal",SUM('Debt Amortization'!$E$44:O44),SUM('Debt Amortization'!$E$98:O98)))/$B$39),0)</f>
        <v>0.78999999999999992</v>
      </c>
      <c r="N42" s="684">
        <f>IF($B$39&gt;0,(($B$39-IF('Project Assumptions'!$I$34="Normal",SUM('Debt Amortization'!$E$44:P44),SUM('Debt Amortization'!$E$98:P98)))/$B$39),0)</f>
        <v>0.74</v>
      </c>
      <c r="O42" s="684">
        <f>IF($B$39&gt;0,(($B$39-IF('Project Assumptions'!$I$34="Normal",SUM('Debt Amortization'!$E$44:Q44),SUM('Debt Amortization'!$E$98:Q98)))/$B$39),0)</f>
        <v>0.69000000000000006</v>
      </c>
      <c r="P42" s="684">
        <f>IF($B$39&gt;0,(($B$39-IF('Project Assumptions'!$I$34="Normal",SUM('Debt Amortization'!$E$44:R44),SUM('Debt Amortization'!$E$98:R98)))/$B$39),0)</f>
        <v>0.6399999999999999</v>
      </c>
      <c r="Q42" s="684">
        <f>IF($B$39&gt;0,(($B$39-IF('Project Assumptions'!$I$34="Normal",SUM('Debt Amortization'!$E$44:S44),SUM('Debt Amortization'!$E$98:S98)))/$B$39),0)</f>
        <v>0.59</v>
      </c>
      <c r="R42" s="684">
        <f>IF($B$39&gt;0,(($B$39-IF('Project Assumptions'!$I$34="Normal",SUM('Debt Amortization'!$E$44:T44),SUM('Debt Amortization'!$E$98:T98)))/$B$39),0)</f>
        <v>0.53999999999999992</v>
      </c>
      <c r="S42" s="684">
        <f>IF($B$39&gt;0,(($B$39-IF('Project Assumptions'!$I$34="Normal",SUM('Debt Amortization'!$E$44:U44),SUM('Debt Amortization'!$E$98:U98)))/$B$39),0)</f>
        <v>0.43999999999999995</v>
      </c>
      <c r="T42" s="684">
        <f>IF($B$39&gt;0,(($B$39-IF('Project Assumptions'!$I$34="Normal",SUM('Debt Amortization'!$E$44:V44),SUM('Debt Amortization'!$E$98:V98)))/$B$39),0)</f>
        <v>0.31999999999999995</v>
      </c>
      <c r="U42" s="684">
        <f>IF($B$39&gt;0,(($B$39-IF('Project Assumptions'!$I$34="Normal",SUM('Debt Amortization'!$E$44:W44),SUM('Debt Amortization'!$E$98:W98)))/$B$39),0)</f>
        <v>0.17000000000000004</v>
      </c>
      <c r="V42" s="684">
        <f>IF($B$39&gt;0,(($B$39-IF('Project Assumptions'!$I$34="Normal",SUM('Debt Amortization'!$E$44:X44),SUM('Debt Amortization'!$E$98:X98)))/$B$39),0)</f>
        <v>0</v>
      </c>
      <c r="W42" s="684">
        <f>IF($B$39&gt;0,(($B$39-IF('Project Assumptions'!$I$34="Normal",SUM('Debt Amortization'!$E$44:Y44),SUM('Debt Amortization'!$E$98:Y98)))/$B$39),0)</f>
        <v>0</v>
      </c>
      <c r="X42" s="684">
        <f>IF($B$39&gt;0,(($B$39-IF('Project Assumptions'!$I$34="Normal",SUM('Debt Amortization'!$E$44:Z44),SUM('Debt Amortization'!$E$98:Z98)))/$B$39),0)</f>
        <v>0</v>
      </c>
      <c r="Y42" s="684">
        <f>IF($B$39&gt;0,(($B$39-IF('Project Assumptions'!$I$34="Normal",SUM('Debt Amortization'!$E$44:AA44),SUM('Debt Amortization'!$E$98:AA98)))/$B$39),0)</f>
        <v>0</v>
      </c>
      <c r="Z42" s="684">
        <f>IF($B$39&gt;0,(($B$39-IF('Project Assumptions'!$I$34="Normal",SUM('Debt Amortization'!$E$44:AB44),SUM('Debt Amortization'!$E$98:AB98)))/$B$39),0)</f>
        <v>0</v>
      </c>
      <c r="AA42" s="685">
        <f>IF($B$39&gt;0,(($B$39-IF('Project Assumptions'!$I$34="Normal",SUM('Debt Amortization'!$E$44:AC44),SUM('Debt Amortization'!$E$98:AC98)))/$B$39),0)</f>
        <v>0</v>
      </c>
    </row>
    <row r="43" spans="1:27" ht="12.6" customHeight="1"/>
    <row r="44" spans="1:27" ht="12.6" customHeight="1"/>
    <row r="45" spans="1:27" ht="12.6" customHeight="1"/>
    <row r="46" spans="1:27" ht="12.6" customHeight="1"/>
    <row r="47" spans="1:27" ht="12.6" customHeight="1"/>
    <row r="48" spans="1:27" ht="12.6" customHeight="1"/>
    <row r="49" ht="12.6" customHeight="1"/>
    <row r="87" spans="3:27" s="34" customFormat="1" ht="12.6" customHeight="1">
      <c r="C87" s="484"/>
      <c r="D87" s="484"/>
      <c r="E87" s="484"/>
      <c r="F87" s="484"/>
      <c r="G87" s="484"/>
      <c r="H87" s="484"/>
      <c r="I87" s="484"/>
      <c r="J87" s="484"/>
      <c r="K87" s="484"/>
      <c r="L87" s="484"/>
      <c r="M87" s="484"/>
      <c r="N87" s="484"/>
      <c r="O87" s="484"/>
      <c r="P87" s="484"/>
      <c r="Q87" s="484"/>
      <c r="R87" s="484"/>
      <c r="S87" s="484"/>
      <c r="T87" s="484"/>
      <c r="U87" s="484"/>
      <c r="V87" s="484"/>
      <c r="W87" s="484"/>
      <c r="X87" s="484"/>
      <c r="Y87" s="484"/>
      <c r="Z87" s="484"/>
      <c r="AA87" s="484"/>
    </row>
    <row r="88" spans="3:27" s="34" customFormat="1" ht="12.6" customHeight="1">
      <c r="C88" s="686"/>
      <c r="D88" s="686"/>
      <c r="E88" s="686"/>
      <c r="F88" s="686"/>
      <c r="G88" s="686"/>
      <c r="H88" s="686"/>
      <c r="I88" s="686"/>
      <c r="J88" s="686"/>
      <c r="K88" s="686"/>
      <c r="L88" s="686"/>
      <c r="M88" s="686"/>
      <c r="N88" s="686"/>
      <c r="O88" s="686"/>
      <c r="P88" s="686"/>
      <c r="Q88" s="686"/>
      <c r="R88" s="686"/>
      <c r="S88" s="686"/>
      <c r="T88" s="686"/>
      <c r="U88" s="686"/>
      <c r="V88" s="686"/>
      <c r="W88" s="686"/>
      <c r="X88" s="686"/>
      <c r="Y88" s="686"/>
      <c r="Z88" s="686"/>
      <c r="AA88" s="686"/>
    </row>
    <row r="89" spans="3:27" s="34" customFormat="1" ht="12.6" customHeight="1">
      <c r="C89" s="484"/>
      <c r="D89" s="484"/>
      <c r="E89" s="484"/>
      <c r="F89" s="484"/>
      <c r="G89" s="484"/>
      <c r="H89" s="484"/>
      <c r="I89" s="484"/>
      <c r="J89" s="484"/>
      <c r="K89" s="484"/>
      <c r="L89" s="484"/>
      <c r="M89" s="484"/>
      <c r="N89" s="484"/>
      <c r="O89" s="484"/>
      <c r="P89" s="484"/>
      <c r="Q89" s="484"/>
      <c r="R89" s="484"/>
      <c r="S89" s="484"/>
      <c r="T89" s="484"/>
      <c r="U89" s="484"/>
      <c r="V89" s="484"/>
      <c r="W89" s="484"/>
      <c r="X89" s="484"/>
      <c r="Y89" s="484"/>
      <c r="Z89" s="484"/>
      <c r="AA89" s="484"/>
    </row>
    <row r="90" spans="3:27" s="34" customFormat="1" ht="12.6" customHeight="1">
      <c r="C90" s="686"/>
      <c r="D90" s="686"/>
      <c r="E90" s="686"/>
      <c r="F90" s="686"/>
      <c r="G90" s="686"/>
      <c r="H90" s="686"/>
      <c r="I90" s="686"/>
      <c r="J90" s="686"/>
      <c r="K90" s="686"/>
      <c r="L90" s="686"/>
      <c r="M90" s="686"/>
      <c r="N90" s="686"/>
      <c r="O90" s="686"/>
      <c r="P90" s="686"/>
      <c r="Q90" s="686"/>
      <c r="R90" s="686"/>
      <c r="S90" s="686"/>
      <c r="T90" s="686"/>
      <c r="U90" s="686"/>
      <c r="V90" s="686"/>
      <c r="W90" s="686"/>
      <c r="X90" s="686"/>
      <c r="Y90" s="686"/>
      <c r="Z90" s="686"/>
      <c r="AA90" s="686"/>
    </row>
    <row r="91" spans="3:27">
      <c r="C91" s="687"/>
      <c r="D91" s="687"/>
      <c r="E91" s="687"/>
      <c r="F91" s="687"/>
      <c r="G91" s="687"/>
      <c r="H91" s="687"/>
      <c r="I91" s="687"/>
      <c r="J91" s="687"/>
      <c r="K91" s="687"/>
      <c r="L91" s="687"/>
      <c r="M91" s="687"/>
      <c r="N91" s="687"/>
      <c r="O91" s="687"/>
      <c r="P91" s="687"/>
      <c r="Q91" s="687"/>
      <c r="R91" s="687"/>
      <c r="S91" s="687"/>
      <c r="T91" s="687"/>
      <c r="U91" s="687"/>
      <c r="V91" s="687"/>
      <c r="W91" s="687"/>
      <c r="X91" s="687"/>
      <c r="Y91" s="687"/>
      <c r="Z91" s="687"/>
      <c r="AA91" s="687"/>
    </row>
    <row r="93" spans="3:27">
      <c r="C93" s="687"/>
      <c r="D93" s="687"/>
      <c r="E93" s="687"/>
      <c r="F93" s="687"/>
      <c r="G93" s="687"/>
      <c r="H93" s="687"/>
      <c r="I93" s="687"/>
      <c r="J93" s="687"/>
      <c r="K93" s="687"/>
      <c r="L93" s="687"/>
      <c r="M93" s="687"/>
      <c r="N93" s="687"/>
      <c r="O93" s="687"/>
      <c r="P93" s="687"/>
      <c r="Q93" s="687"/>
      <c r="R93" s="687"/>
      <c r="S93" s="687"/>
      <c r="T93" s="687"/>
      <c r="U93" s="687"/>
      <c r="V93" s="687"/>
      <c r="W93" s="687"/>
      <c r="X93" s="687"/>
      <c r="Y93" s="687"/>
      <c r="Z93" s="687"/>
      <c r="AA93" s="687"/>
    </row>
    <row r="96" spans="3:27" ht="12.6" customHeight="1"/>
    <row r="97" ht="12.6" customHeight="1"/>
    <row r="131" spans="1:229" s="34" customFormat="1" ht="12.6" customHeight="1">
      <c r="C131" s="688"/>
      <c r="D131" s="688"/>
      <c r="E131" s="688"/>
      <c r="F131" s="688"/>
      <c r="G131" s="688"/>
      <c r="H131" s="688"/>
      <c r="I131" s="688"/>
      <c r="J131" s="688"/>
      <c r="K131" s="688"/>
      <c r="L131" s="688"/>
      <c r="M131" s="688"/>
      <c r="N131" s="688"/>
      <c r="O131" s="688"/>
      <c r="P131" s="688"/>
      <c r="Q131" s="688"/>
      <c r="R131" s="688"/>
      <c r="S131" s="688"/>
      <c r="T131" s="688"/>
      <c r="U131" s="688"/>
      <c r="V131" s="688"/>
      <c r="W131" s="688"/>
      <c r="X131" s="688"/>
      <c r="Y131" s="688"/>
      <c r="Z131" s="688"/>
      <c r="AA131" s="688"/>
    </row>
    <row r="132" spans="1:229" s="34" customFormat="1" ht="12.6" customHeight="1"/>
    <row r="133" spans="1:229" s="34" customFormat="1" ht="12.6" customHeight="1"/>
    <row r="134" spans="1:229" s="33" customFormat="1" ht="15.75">
      <c r="A134" s="689"/>
    </row>
    <row r="135" spans="1:229" s="34" customFormat="1" ht="12.6" customHeight="1">
      <c r="C135" s="686"/>
      <c r="D135" s="686"/>
      <c r="E135" s="686"/>
      <c r="F135" s="686"/>
      <c r="G135" s="686"/>
      <c r="H135" s="686"/>
      <c r="I135" s="686"/>
      <c r="J135" s="686"/>
      <c r="K135" s="686"/>
      <c r="L135" s="686"/>
      <c r="M135" s="686"/>
      <c r="N135" s="686"/>
      <c r="O135" s="686"/>
      <c r="P135" s="686"/>
      <c r="Q135" s="686"/>
      <c r="R135" s="686"/>
      <c r="S135" s="686"/>
      <c r="T135" s="686"/>
      <c r="U135" s="686"/>
      <c r="V135" s="686"/>
      <c r="W135" s="686"/>
      <c r="X135" s="686"/>
      <c r="Y135" s="686"/>
      <c r="Z135" s="686"/>
      <c r="AA135" s="686"/>
    </row>
    <row r="136" spans="1:229" s="34" customFormat="1" ht="12.6" customHeight="1">
      <c r="C136" s="686"/>
      <c r="D136" s="686"/>
      <c r="E136" s="686"/>
      <c r="F136" s="686"/>
      <c r="G136" s="686"/>
      <c r="H136" s="686"/>
      <c r="I136" s="686"/>
      <c r="J136" s="686"/>
      <c r="K136" s="686"/>
      <c r="L136" s="686"/>
      <c r="M136" s="686"/>
      <c r="N136" s="686"/>
      <c r="O136" s="686"/>
      <c r="P136" s="686"/>
      <c r="Q136" s="686"/>
      <c r="R136" s="686"/>
      <c r="S136" s="686"/>
      <c r="T136" s="686"/>
      <c r="U136" s="686"/>
      <c r="V136" s="686"/>
      <c r="W136" s="686"/>
      <c r="X136" s="686"/>
      <c r="Y136" s="686"/>
      <c r="Z136" s="686"/>
      <c r="AA136" s="686"/>
    </row>
    <row r="137" spans="1:229" s="34" customFormat="1" ht="12.6" customHeight="1"/>
    <row r="138" spans="1:229" s="34" customFormat="1" ht="12.6" customHeight="1"/>
    <row r="139" spans="1:229" s="34" customFormat="1" ht="12.6" customHeight="1"/>
    <row r="140" spans="1:229" s="36" customFormat="1" ht="12.6" customHeight="1">
      <c r="A140" s="377"/>
      <c r="C140" s="353"/>
      <c r="D140" s="403"/>
      <c r="E140" s="403"/>
      <c r="F140" s="403"/>
      <c r="G140" s="403"/>
      <c r="H140" s="403"/>
      <c r="I140" s="403"/>
      <c r="J140" s="403"/>
      <c r="K140" s="403"/>
      <c r="L140" s="403"/>
      <c r="M140" s="403"/>
      <c r="N140" s="403"/>
      <c r="O140" s="403"/>
      <c r="P140" s="403"/>
      <c r="Q140" s="403"/>
      <c r="R140" s="403"/>
      <c r="S140" s="403"/>
      <c r="T140" s="403"/>
      <c r="U140" s="403"/>
      <c r="V140" s="403"/>
      <c r="W140" s="403"/>
      <c r="X140" s="403"/>
      <c r="Y140" s="403"/>
      <c r="Z140" s="403"/>
      <c r="AA140" s="403"/>
      <c r="AB140" s="403"/>
    </row>
    <row r="141" spans="1:229" s="36" customFormat="1" ht="12.6" customHeight="1">
      <c r="A141" s="39"/>
      <c r="B141" s="35"/>
      <c r="C141" s="353"/>
      <c r="D141" s="353"/>
      <c r="E141" s="353"/>
      <c r="F141" s="353"/>
      <c r="G141" s="353"/>
      <c r="H141" s="353"/>
      <c r="I141" s="353"/>
      <c r="J141" s="353"/>
      <c r="K141" s="353"/>
      <c r="L141" s="353"/>
      <c r="M141" s="353"/>
      <c r="N141" s="353"/>
      <c r="O141" s="353"/>
      <c r="P141" s="353"/>
      <c r="Q141" s="353"/>
      <c r="R141" s="353"/>
      <c r="S141" s="353"/>
      <c r="T141" s="353"/>
      <c r="U141" s="353"/>
      <c r="V141" s="353"/>
      <c r="W141" s="353"/>
      <c r="X141" s="353"/>
      <c r="Y141" s="353"/>
      <c r="Z141" s="353"/>
      <c r="AA141" s="353"/>
      <c r="AB141" s="353"/>
      <c r="AC141" s="353"/>
      <c r="AD141" s="353"/>
      <c r="AE141" s="353"/>
      <c r="AF141" s="353"/>
      <c r="AG141" s="353"/>
      <c r="AH141" s="353"/>
      <c r="AI141" s="353"/>
      <c r="AJ141" s="353"/>
      <c r="AK141" s="353"/>
      <c r="AL141" s="353"/>
      <c r="AM141" s="353"/>
      <c r="AN141" s="353"/>
      <c r="AO141" s="353"/>
      <c r="AP141" s="353"/>
      <c r="AQ141" s="353"/>
      <c r="AR141" s="353"/>
      <c r="AS141" s="353"/>
      <c r="AT141" s="353"/>
      <c r="AU141" s="353"/>
      <c r="AV141" s="353"/>
      <c r="AW141" s="353"/>
      <c r="AX141" s="353"/>
      <c r="AY141" s="353"/>
      <c r="AZ141" s="353"/>
      <c r="BA141" s="353"/>
      <c r="BB141" s="353"/>
      <c r="BC141" s="353"/>
      <c r="BD141" s="353"/>
      <c r="BE141" s="353"/>
      <c r="BF141" s="353"/>
      <c r="BG141" s="353"/>
      <c r="BH141" s="353"/>
      <c r="BI141" s="353"/>
      <c r="BJ141" s="353"/>
      <c r="BK141" s="353"/>
      <c r="BL141" s="353"/>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c r="CI141" s="353"/>
      <c r="CJ141" s="353"/>
      <c r="CK141" s="353"/>
      <c r="CL141" s="353"/>
      <c r="CM141" s="353"/>
      <c r="CN141" s="353"/>
      <c r="CO141" s="353"/>
      <c r="CP141" s="353"/>
      <c r="CQ141" s="353"/>
      <c r="CR141" s="353"/>
      <c r="CS141" s="353"/>
      <c r="CT141" s="353"/>
      <c r="CU141" s="353"/>
      <c r="CV141" s="353"/>
      <c r="CW141" s="353"/>
      <c r="CX141" s="353"/>
      <c r="CY141" s="353"/>
      <c r="CZ141" s="353"/>
      <c r="DA141" s="353"/>
      <c r="DB141" s="353"/>
      <c r="DC141" s="353"/>
      <c r="DD141" s="353"/>
      <c r="DE141" s="353"/>
      <c r="DF141" s="353"/>
      <c r="DG141" s="353"/>
      <c r="DH141" s="353"/>
      <c r="DI141" s="353"/>
      <c r="DJ141" s="353"/>
      <c r="DK141" s="353"/>
      <c r="DL141" s="353"/>
      <c r="DM141" s="353"/>
      <c r="DN141" s="353"/>
      <c r="DO141" s="353"/>
      <c r="DP141" s="353"/>
      <c r="DQ141" s="353"/>
      <c r="DR141" s="353"/>
      <c r="DS141" s="353"/>
      <c r="DT141" s="353"/>
      <c r="DU141" s="353"/>
      <c r="DV141" s="353"/>
      <c r="DW141" s="353"/>
      <c r="DX141" s="353"/>
      <c r="DY141" s="353"/>
      <c r="DZ141" s="353"/>
      <c r="EA141" s="353"/>
      <c r="EB141" s="353"/>
      <c r="EC141" s="353"/>
      <c r="ED141" s="353"/>
      <c r="EE141" s="353"/>
      <c r="EF141" s="353"/>
      <c r="EG141" s="353"/>
      <c r="EH141" s="353"/>
      <c r="EI141" s="353"/>
      <c r="EJ141" s="353"/>
      <c r="EK141" s="353"/>
      <c r="EL141" s="353"/>
      <c r="EM141" s="353"/>
      <c r="EN141" s="353"/>
      <c r="EO141" s="353"/>
      <c r="EP141" s="353"/>
      <c r="EQ141" s="353"/>
      <c r="ER141" s="353"/>
      <c r="ES141" s="353"/>
      <c r="ET141" s="353"/>
      <c r="EU141" s="353"/>
      <c r="EV141" s="353"/>
      <c r="EW141" s="353"/>
      <c r="EX141" s="353"/>
      <c r="EY141" s="353"/>
      <c r="EZ141" s="353"/>
      <c r="FA141" s="353"/>
      <c r="FB141" s="353"/>
      <c r="FC141" s="353"/>
      <c r="FD141" s="353"/>
      <c r="FE141" s="353"/>
      <c r="FF141" s="353"/>
      <c r="FG141" s="353"/>
      <c r="FH141" s="353"/>
      <c r="FI141" s="353"/>
      <c r="FJ141" s="353"/>
      <c r="FK141" s="353"/>
      <c r="FL141" s="353"/>
      <c r="FM141" s="353"/>
      <c r="FN141" s="353"/>
      <c r="FO141" s="353"/>
      <c r="FP141" s="353"/>
      <c r="FQ141" s="353"/>
      <c r="FR141" s="353"/>
      <c r="FS141" s="353"/>
      <c r="FT141" s="353"/>
      <c r="FU141" s="353"/>
      <c r="FV141" s="353"/>
      <c r="FW141" s="353"/>
      <c r="FX141" s="353"/>
      <c r="FY141" s="353"/>
      <c r="FZ141" s="353"/>
      <c r="GA141" s="353"/>
      <c r="GB141" s="353"/>
      <c r="GC141" s="353"/>
      <c r="GD141" s="353"/>
      <c r="GE141" s="353"/>
      <c r="GF141" s="353"/>
      <c r="GG141" s="353"/>
      <c r="GH141" s="353"/>
      <c r="GI141" s="353"/>
      <c r="GJ141" s="353"/>
      <c r="GK141" s="353"/>
      <c r="GL141" s="353"/>
      <c r="GM141" s="353"/>
      <c r="GN141" s="353"/>
      <c r="GO141" s="353"/>
      <c r="GP141" s="353"/>
      <c r="GQ141" s="353"/>
      <c r="GR141" s="353"/>
      <c r="GS141" s="353"/>
      <c r="GT141" s="353"/>
      <c r="GU141" s="353"/>
      <c r="GV141" s="353"/>
      <c r="GW141" s="353"/>
      <c r="GX141" s="353"/>
      <c r="GY141" s="353"/>
      <c r="GZ141" s="353"/>
      <c r="HA141" s="353"/>
      <c r="HB141" s="353"/>
      <c r="HC141" s="353"/>
      <c r="HD141" s="353"/>
      <c r="HE141" s="353"/>
      <c r="HF141" s="353"/>
      <c r="HG141" s="353"/>
      <c r="HH141" s="353"/>
      <c r="HI141" s="353"/>
      <c r="HJ141" s="353"/>
      <c r="HK141" s="353"/>
      <c r="HL141" s="353"/>
      <c r="HM141" s="353"/>
      <c r="HN141" s="353"/>
      <c r="HO141" s="353"/>
      <c r="HP141" s="353"/>
      <c r="HQ141" s="353"/>
      <c r="HR141" s="353"/>
      <c r="HS141" s="353"/>
      <c r="HT141" s="353"/>
      <c r="HU141" s="353"/>
    </row>
    <row r="142" spans="1:229" s="353" customFormat="1" ht="12.6" customHeight="1">
      <c r="A142" s="39"/>
      <c r="B142" s="35"/>
      <c r="C142" s="690"/>
      <c r="D142" s="690"/>
      <c r="E142" s="690"/>
      <c r="F142" s="690"/>
      <c r="G142" s="690"/>
      <c r="H142" s="690"/>
      <c r="I142" s="690"/>
      <c r="J142" s="690"/>
      <c r="K142" s="690"/>
      <c r="L142" s="690"/>
      <c r="M142" s="690"/>
      <c r="N142" s="690"/>
      <c r="O142" s="690"/>
      <c r="P142" s="690"/>
      <c r="Q142" s="690"/>
      <c r="R142" s="690"/>
      <c r="S142" s="690"/>
      <c r="T142" s="690"/>
      <c r="U142" s="690"/>
      <c r="V142" s="690"/>
      <c r="W142" s="690"/>
      <c r="X142" s="690"/>
      <c r="Y142" s="690"/>
      <c r="Z142" s="690"/>
      <c r="AA142" s="690"/>
    </row>
    <row r="143" spans="1:229" s="34" customFormat="1" ht="12.6" customHeight="1">
      <c r="C143" s="688"/>
      <c r="D143" s="688"/>
      <c r="E143" s="688"/>
      <c r="F143" s="688"/>
      <c r="G143" s="688"/>
      <c r="H143" s="688"/>
      <c r="I143" s="688"/>
      <c r="J143" s="688"/>
      <c r="K143" s="688"/>
      <c r="L143" s="688"/>
      <c r="M143" s="688"/>
      <c r="N143" s="688"/>
      <c r="O143" s="688"/>
      <c r="P143" s="688"/>
      <c r="Q143" s="688"/>
      <c r="R143" s="688"/>
      <c r="S143" s="688"/>
      <c r="T143" s="688"/>
      <c r="U143" s="688"/>
      <c r="V143" s="688"/>
      <c r="W143" s="688"/>
      <c r="X143" s="688"/>
      <c r="Y143" s="688"/>
      <c r="Z143" s="688"/>
      <c r="AA143" s="688"/>
    </row>
    <row r="144" spans="1:229" s="34" customFormat="1" ht="12.6" customHeight="1">
      <c r="C144" s="691"/>
      <c r="D144" s="691"/>
      <c r="E144" s="691"/>
      <c r="F144" s="691"/>
      <c r="G144" s="691"/>
      <c r="H144" s="691"/>
      <c r="I144" s="691"/>
      <c r="J144" s="691"/>
      <c r="K144" s="691"/>
      <c r="L144" s="691"/>
      <c r="M144" s="691"/>
      <c r="N144" s="691"/>
      <c r="O144" s="691"/>
      <c r="P144" s="691"/>
      <c r="Q144" s="691"/>
      <c r="R144" s="691"/>
      <c r="S144" s="691"/>
      <c r="T144" s="691"/>
      <c r="U144" s="691"/>
      <c r="V144" s="691"/>
      <c r="W144" s="691"/>
      <c r="X144" s="691"/>
      <c r="Y144" s="691"/>
      <c r="Z144" s="691"/>
      <c r="AA144" s="691"/>
    </row>
    <row r="145" spans="1:27" s="353" customFormat="1" ht="12.6" customHeight="1">
      <c r="A145" s="377"/>
      <c r="C145" s="690"/>
      <c r="D145" s="690"/>
      <c r="E145" s="690"/>
      <c r="F145" s="690"/>
      <c r="G145" s="690"/>
      <c r="H145" s="690"/>
      <c r="I145" s="690"/>
      <c r="J145" s="690"/>
      <c r="K145" s="690"/>
      <c r="L145" s="690"/>
      <c r="M145" s="690"/>
      <c r="N145" s="690"/>
      <c r="O145" s="690"/>
      <c r="P145" s="690"/>
      <c r="Q145" s="690"/>
      <c r="R145" s="690"/>
      <c r="S145" s="690"/>
      <c r="T145" s="690"/>
      <c r="U145" s="690"/>
      <c r="V145" s="690"/>
      <c r="W145" s="690"/>
      <c r="X145" s="690"/>
      <c r="Y145" s="690"/>
      <c r="Z145" s="690"/>
      <c r="AA145" s="690"/>
    </row>
    <row r="146" spans="1:27" s="33" customFormat="1" ht="15.75">
      <c r="A146" s="689"/>
    </row>
    <row r="147" spans="1:27" s="34" customFormat="1" ht="12.6" customHeight="1">
      <c r="C147" s="688"/>
      <c r="D147" s="688"/>
      <c r="E147" s="688"/>
      <c r="F147" s="688"/>
      <c r="G147" s="688"/>
      <c r="H147" s="688"/>
      <c r="I147" s="688"/>
      <c r="J147" s="688"/>
      <c r="K147" s="688"/>
      <c r="L147" s="688"/>
      <c r="M147" s="688"/>
      <c r="N147" s="688"/>
      <c r="O147" s="688"/>
      <c r="P147" s="688"/>
      <c r="Q147" s="688"/>
      <c r="R147" s="688"/>
      <c r="S147" s="688"/>
      <c r="T147" s="688"/>
      <c r="U147" s="688"/>
      <c r="V147" s="688"/>
      <c r="W147" s="688"/>
      <c r="X147" s="688"/>
      <c r="Y147" s="688"/>
      <c r="Z147" s="688"/>
      <c r="AA147" s="688"/>
    </row>
    <row r="148" spans="1:27" s="34" customFormat="1" ht="12.6" customHeight="1">
      <c r="C148" s="688"/>
      <c r="D148" s="688"/>
      <c r="E148" s="688"/>
      <c r="F148" s="688"/>
      <c r="G148" s="688"/>
      <c r="H148" s="688"/>
      <c r="I148" s="688"/>
      <c r="J148" s="688"/>
      <c r="K148" s="688"/>
      <c r="L148" s="688"/>
      <c r="M148" s="688"/>
      <c r="N148" s="688"/>
      <c r="O148" s="688"/>
      <c r="P148" s="688"/>
      <c r="Q148" s="688"/>
      <c r="R148" s="688"/>
      <c r="S148" s="688"/>
      <c r="T148" s="688"/>
      <c r="U148" s="688"/>
      <c r="V148" s="688"/>
      <c r="W148" s="688"/>
      <c r="X148" s="688"/>
      <c r="Y148" s="688"/>
      <c r="Z148" s="688"/>
      <c r="AA148" s="688"/>
    </row>
    <row r="149" spans="1:27" s="34" customFormat="1" ht="12.6" customHeight="1">
      <c r="C149" s="688"/>
      <c r="D149" s="688"/>
      <c r="E149" s="688"/>
      <c r="F149" s="688"/>
      <c r="G149" s="688"/>
      <c r="H149" s="688"/>
      <c r="I149" s="688"/>
      <c r="J149" s="688"/>
      <c r="K149" s="688"/>
      <c r="L149" s="688"/>
      <c r="M149" s="688"/>
      <c r="N149" s="688"/>
      <c r="O149" s="688"/>
      <c r="P149" s="688"/>
      <c r="Q149" s="688"/>
      <c r="R149" s="688"/>
      <c r="S149" s="688"/>
      <c r="T149" s="688"/>
      <c r="U149" s="688"/>
      <c r="V149" s="688"/>
      <c r="W149" s="688"/>
      <c r="X149" s="688"/>
      <c r="Y149" s="688"/>
      <c r="Z149" s="688"/>
      <c r="AA149" s="688"/>
    </row>
    <row r="150" spans="1:27" s="33" customFormat="1" ht="15.75">
      <c r="A150" s="689"/>
    </row>
    <row r="151" spans="1:27" s="353" customFormat="1" ht="12.6" customHeight="1">
      <c r="A151" s="377"/>
      <c r="C151" s="690"/>
      <c r="D151" s="690"/>
      <c r="E151" s="690"/>
      <c r="F151" s="690"/>
      <c r="G151" s="690"/>
      <c r="H151" s="690"/>
      <c r="I151" s="690"/>
      <c r="J151" s="690"/>
      <c r="K151" s="690"/>
      <c r="L151" s="690"/>
      <c r="M151" s="690"/>
      <c r="N151" s="690"/>
      <c r="O151" s="690"/>
      <c r="P151" s="690"/>
      <c r="Q151" s="690"/>
      <c r="R151" s="690"/>
      <c r="S151" s="690"/>
      <c r="T151" s="690"/>
      <c r="U151" s="690"/>
      <c r="V151" s="690"/>
      <c r="W151" s="690"/>
      <c r="X151" s="690"/>
      <c r="Y151" s="690"/>
      <c r="Z151" s="690"/>
      <c r="AA151" s="690"/>
    </row>
    <row r="152" spans="1:27" s="353" customFormat="1" ht="12.6" customHeight="1">
      <c r="A152" s="377"/>
      <c r="C152" s="690"/>
      <c r="D152" s="690"/>
      <c r="E152" s="690"/>
      <c r="F152" s="690"/>
      <c r="G152" s="690"/>
      <c r="H152" s="690"/>
      <c r="I152" s="690"/>
      <c r="J152" s="690"/>
      <c r="K152" s="690"/>
      <c r="L152" s="690"/>
      <c r="M152" s="690"/>
      <c r="N152" s="690"/>
      <c r="O152" s="690"/>
      <c r="P152" s="690"/>
      <c r="Q152" s="690"/>
      <c r="R152" s="690"/>
      <c r="S152" s="690"/>
      <c r="T152" s="690"/>
      <c r="U152" s="690"/>
      <c r="V152" s="690"/>
      <c r="W152" s="690"/>
      <c r="X152" s="690"/>
      <c r="Y152" s="690"/>
      <c r="Z152" s="690"/>
      <c r="AA152" s="690"/>
    </row>
    <row r="153" spans="1:27" s="353" customFormat="1" ht="12.6" customHeight="1">
      <c r="A153" s="377"/>
      <c r="C153" s="690"/>
      <c r="D153" s="690"/>
      <c r="E153" s="690"/>
      <c r="F153" s="690"/>
      <c r="G153" s="690"/>
      <c r="H153" s="690"/>
      <c r="I153" s="690"/>
      <c r="J153" s="690"/>
      <c r="K153" s="690"/>
      <c r="L153" s="690"/>
      <c r="M153" s="690"/>
      <c r="N153" s="690"/>
      <c r="O153" s="690"/>
      <c r="P153" s="690"/>
      <c r="Q153" s="690"/>
      <c r="R153" s="690"/>
      <c r="S153" s="690"/>
      <c r="T153" s="690"/>
      <c r="U153" s="690"/>
      <c r="V153" s="690"/>
      <c r="W153" s="690"/>
      <c r="X153" s="690"/>
      <c r="Y153" s="690"/>
      <c r="Z153" s="690"/>
      <c r="AA153" s="690"/>
    </row>
    <row r="154" spans="1:27" s="353" customFormat="1" ht="12.6" customHeight="1">
      <c r="A154" s="377"/>
      <c r="C154" s="690"/>
      <c r="D154" s="690"/>
      <c r="E154" s="690"/>
      <c r="F154" s="690"/>
      <c r="G154" s="690"/>
      <c r="H154" s="690"/>
      <c r="I154" s="690"/>
      <c r="J154" s="690"/>
      <c r="K154" s="690"/>
      <c r="L154" s="690"/>
      <c r="M154" s="690"/>
      <c r="N154" s="690"/>
      <c r="O154" s="690"/>
      <c r="P154" s="690"/>
      <c r="Q154" s="690"/>
      <c r="R154" s="690"/>
      <c r="S154" s="690"/>
      <c r="T154" s="690"/>
      <c r="U154" s="690"/>
      <c r="V154" s="690"/>
      <c r="W154" s="690"/>
      <c r="X154" s="690"/>
      <c r="Y154" s="690"/>
      <c r="Z154" s="690"/>
      <c r="AA154" s="690"/>
    </row>
    <row r="155" spans="1:27" s="353" customFormat="1" ht="12.6" customHeight="1">
      <c r="A155" s="377"/>
      <c r="C155" s="690"/>
      <c r="D155" s="690"/>
      <c r="E155" s="690"/>
      <c r="F155" s="690"/>
      <c r="G155" s="690"/>
      <c r="H155" s="690"/>
      <c r="I155" s="690"/>
      <c r="J155" s="690"/>
      <c r="K155" s="690"/>
      <c r="L155" s="690"/>
      <c r="M155" s="690"/>
      <c r="N155" s="690"/>
      <c r="O155" s="690"/>
      <c r="P155" s="690"/>
      <c r="Q155" s="690"/>
      <c r="R155" s="690"/>
      <c r="S155" s="690"/>
      <c r="T155" s="690"/>
      <c r="U155" s="690"/>
      <c r="V155" s="690"/>
      <c r="W155" s="690"/>
      <c r="X155" s="690"/>
      <c r="Y155" s="690"/>
      <c r="Z155" s="690"/>
      <c r="AA155" s="690"/>
    </row>
    <row r="156" spans="1:27" s="353" customFormat="1" ht="12.6" customHeight="1">
      <c r="A156" s="377"/>
      <c r="C156" s="690"/>
      <c r="D156" s="690"/>
      <c r="E156" s="690"/>
      <c r="F156" s="690"/>
      <c r="G156" s="690"/>
      <c r="H156" s="690"/>
      <c r="I156" s="690"/>
      <c r="J156" s="690"/>
      <c r="K156" s="690"/>
      <c r="L156" s="690"/>
      <c r="M156" s="690"/>
      <c r="N156" s="690"/>
      <c r="O156" s="690"/>
      <c r="P156" s="690"/>
      <c r="Q156" s="690"/>
      <c r="R156" s="690"/>
      <c r="S156" s="690"/>
      <c r="T156" s="690"/>
      <c r="U156" s="690"/>
      <c r="V156" s="690"/>
      <c r="W156" s="690"/>
      <c r="X156" s="690"/>
      <c r="Y156" s="690"/>
      <c r="Z156" s="690"/>
      <c r="AA156" s="690"/>
    </row>
    <row r="157" spans="1:27" s="353" customFormat="1" ht="12.6" customHeight="1">
      <c r="A157" s="377"/>
      <c r="C157" s="690"/>
      <c r="D157" s="690"/>
      <c r="E157" s="690"/>
      <c r="F157" s="690"/>
      <c r="G157" s="690"/>
      <c r="H157" s="690"/>
      <c r="I157" s="690"/>
      <c r="J157" s="690"/>
      <c r="K157" s="690"/>
      <c r="L157" s="690"/>
      <c r="M157" s="690"/>
      <c r="N157" s="690"/>
      <c r="O157" s="690"/>
      <c r="P157" s="690"/>
      <c r="Q157" s="690"/>
      <c r="R157" s="690"/>
      <c r="S157" s="690"/>
      <c r="T157" s="690"/>
      <c r="U157" s="690"/>
      <c r="V157" s="690"/>
      <c r="W157" s="690"/>
      <c r="X157" s="690"/>
      <c r="Y157" s="690"/>
      <c r="Z157" s="690"/>
      <c r="AA157" s="690"/>
    </row>
    <row r="158" spans="1:27" s="353" customFormat="1" ht="12.6" customHeight="1">
      <c r="A158" s="377"/>
      <c r="C158" s="690"/>
      <c r="D158" s="690"/>
      <c r="E158" s="690"/>
      <c r="F158" s="690"/>
      <c r="G158" s="690"/>
      <c r="H158" s="690"/>
      <c r="I158" s="690"/>
      <c r="J158" s="690"/>
      <c r="K158" s="690"/>
      <c r="L158" s="690"/>
      <c r="M158" s="690"/>
      <c r="N158" s="690"/>
      <c r="O158" s="690"/>
      <c r="P158" s="690"/>
      <c r="Q158" s="690"/>
      <c r="R158" s="690"/>
      <c r="S158" s="690"/>
      <c r="T158" s="690"/>
      <c r="U158" s="690"/>
      <c r="V158" s="690"/>
      <c r="W158" s="690"/>
      <c r="X158" s="690"/>
      <c r="Y158" s="690"/>
      <c r="Z158" s="690"/>
      <c r="AA158" s="690"/>
    </row>
    <row r="164" spans="1:228" s="36" customFormat="1" ht="12.6" customHeight="1">
      <c r="A164" s="39"/>
      <c r="B164" s="35"/>
      <c r="C164" s="401"/>
      <c r="D164" s="401"/>
      <c r="E164" s="401"/>
      <c r="F164" s="401"/>
      <c r="G164" s="401"/>
      <c r="H164" s="401"/>
      <c r="I164" s="401"/>
      <c r="J164" s="401"/>
      <c r="K164" s="401"/>
      <c r="L164" s="401"/>
      <c r="M164" s="401"/>
      <c r="N164" s="401"/>
      <c r="O164" s="401"/>
      <c r="P164" s="401"/>
      <c r="Q164" s="401"/>
      <c r="R164" s="401"/>
      <c r="S164" s="401"/>
      <c r="T164" s="401"/>
      <c r="U164" s="401"/>
      <c r="V164" s="401"/>
      <c r="W164" s="401"/>
      <c r="X164" s="401"/>
      <c r="Y164" s="401"/>
      <c r="Z164" s="401"/>
      <c r="AA164" s="401"/>
    </row>
    <row r="165" spans="1:228" s="36" customFormat="1" ht="12.6" customHeight="1">
      <c r="A165" s="377"/>
      <c r="C165" s="353"/>
      <c r="D165" s="353"/>
      <c r="E165" s="353"/>
      <c r="F165" s="353"/>
      <c r="G165" s="353"/>
      <c r="H165" s="353"/>
      <c r="I165" s="353"/>
      <c r="J165" s="353"/>
      <c r="K165" s="353"/>
      <c r="L165" s="353"/>
      <c r="M165" s="353"/>
      <c r="N165" s="353"/>
      <c r="O165" s="353"/>
      <c r="P165" s="353"/>
      <c r="Q165" s="353"/>
      <c r="R165" s="353"/>
      <c r="S165" s="353"/>
      <c r="T165" s="353"/>
      <c r="U165" s="353"/>
      <c r="V165" s="353"/>
      <c r="W165" s="353"/>
      <c r="X165" s="353"/>
      <c r="Y165" s="353"/>
      <c r="Z165" s="353"/>
      <c r="AA165" s="353"/>
      <c r="AB165" s="353"/>
      <c r="AC165" s="353"/>
      <c r="AD165" s="353"/>
      <c r="AE165" s="353"/>
      <c r="AF165" s="353"/>
      <c r="AG165" s="353"/>
      <c r="AH165" s="353"/>
      <c r="AI165" s="353"/>
      <c r="AJ165" s="353"/>
      <c r="AK165" s="353"/>
      <c r="AL165" s="353"/>
      <c r="AM165" s="353"/>
      <c r="AN165" s="353"/>
      <c r="AO165" s="353"/>
      <c r="AP165" s="353"/>
      <c r="AQ165" s="353"/>
      <c r="AR165" s="353"/>
      <c r="AS165" s="353"/>
      <c r="AT165" s="353"/>
      <c r="AU165" s="353"/>
      <c r="AV165" s="353"/>
      <c r="AW165" s="353"/>
      <c r="AX165" s="353"/>
      <c r="AY165" s="353"/>
      <c r="AZ165" s="353"/>
      <c r="BA165" s="353"/>
      <c r="BB165" s="353"/>
      <c r="BC165" s="353"/>
      <c r="BD165" s="353"/>
      <c r="BE165" s="353"/>
      <c r="BF165" s="353"/>
      <c r="BG165" s="353"/>
      <c r="BH165" s="353"/>
      <c r="BI165" s="353"/>
      <c r="BJ165" s="353"/>
      <c r="BK165" s="353"/>
      <c r="BL165" s="353"/>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c r="CI165" s="353"/>
      <c r="CJ165" s="353"/>
      <c r="CK165" s="353"/>
      <c r="CL165" s="353"/>
      <c r="CM165" s="353"/>
      <c r="CN165" s="353"/>
      <c r="CO165" s="353"/>
      <c r="CP165" s="353"/>
      <c r="CQ165" s="353"/>
      <c r="CR165" s="353"/>
      <c r="CS165" s="353"/>
      <c r="CT165" s="353"/>
      <c r="CU165" s="353"/>
      <c r="CV165" s="353"/>
      <c r="CW165" s="353"/>
      <c r="CX165" s="353"/>
      <c r="CY165" s="353"/>
      <c r="CZ165" s="353"/>
      <c r="DA165" s="353"/>
      <c r="DB165" s="353"/>
      <c r="DC165" s="353"/>
      <c r="DD165" s="353"/>
      <c r="DE165" s="353"/>
      <c r="DF165" s="353"/>
      <c r="DG165" s="353"/>
      <c r="DH165" s="353"/>
      <c r="DI165" s="353"/>
      <c r="DJ165" s="353"/>
      <c r="DK165" s="353"/>
      <c r="DL165" s="353"/>
      <c r="DM165" s="353"/>
      <c r="DN165" s="353"/>
      <c r="DO165" s="353"/>
      <c r="DP165" s="353"/>
      <c r="DQ165" s="353"/>
      <c r="DR165" s="353"/>
      <c r="DS165" s="353"/>
      <c r="DT165" s="353"/>
      <c r="DU165" s="353"/>
      <c r="DV165" s="353"/>
      <c r="DW165" s="353"/>
      <c r="DX165" s="353"/>
      <c r="DY165" s="353"/>
      <c r="DZ165" s="353"/>
      <c r="EA165" s="353"/>
      <c r="EB165" s="353"/>
      <c r="EC165" s="353"/>
      <c r="ED165" s="353"/>
      <c r="EE165" s="353"/>
      <c r="EF165" s="353"/>
      <c r="EG165" s="353"/>
      <c r="EH165" s="353"/>
      <c r="EI165" s="353"/>
      <c r="EJ165" s="353"/>
      <c r="EK165" s="353"/>
      <c r="EL165" s="353"/>
      <c r="EM165" s="353"/>
      <c r="EN165" s="353"/>
      <c r="EO165" s="353"/>
      <c r="EP165" s="353"/>
      <c r="EQ165" s="353"/>
      <c r="ER165" s="353"/>
      <c r="ES165" s="353"/>
      <c r="ET165" s="353"/>
      <c r="EU165" s="353"/>
      <c r="EV165" s="353"/>
      <c r="EW165" s="353"/>
      <c r="EX165" s="353"/>
      <c r="EY165" s="353"/>
      <c r="EZ165" s="353"/>
      <c r="FA165" s="353"/>
      <c r="FB165" s="353"/>
      <c r="FC165" s="353"/>
      <c r="FD165" s="353"/>
      <c r="FE165" s="353"/>
      <c r="FF165" s="353"/>
      <c r="FG165" s="353"/>
      <c r="FH165" s="353"/>
      <c r="FI165" s="353"/>
      <c r="FJ165" s="353"/>
      <c r="FK165" s="353"/>
      <c r="FL165" s="353"/>
      <c r="FM165" s="353"/>
      <c r="FN165" s="353"/>
      <c r="FO165" s="353"/>
      <c r="FP165" s="353"/>
      <c r="FQ165" s="353"/>
      <c r="FR165" s="353"/>
      <c r="FS165" s="353"/>
      <c r="FT165" s="353"/>
      <c r="FU165" s="353"/>
      <c r="FV165" s="353"/>
      <c r="FW165" s="353"/>
      <c r="FX165" s="353"/>
      <c r="FY165" s="353"/>
      <c r="FZ165" s="353"/>
      <c r="GA165" s="353"/>
      <c r="GB165" s="353"/>
      <c r="GC165" s="353"/>
      <c r="GD165" s="353"/>
      <c r="GE165" s="353"/>
      <c r="GF165" s="353"/>
      <c r="GG165" s="353"/>
      <c r="GH165" s="353"/>
      <c r="GI165" s="353"/>
      <c r="GJ165" s="353"/>
      <c r="GK165" s="353"/>
      <c r="GL165" s="353"/>
      <c r="GM165" s="353"/>
      <c r="GN165" s="353"/>
      <c r="GO165" s="353"/>
      <c r="GP165" s="353"/>
      <c r="GQ165" s="353"/>
      <c r="GR165" s="353"/>
      <c r="GS165" s="353"/>
      <c r="GT165" s="353"/>
      <c r="GU165" s="353"/>
      <c r="GV165" s="353"/>
      <c r="GW165" s="353"/>
      <c r="GX165" s="353"/>
      <c r="GY165" s="353"/>
      <c r="GZ165" s="353"/>
      <c r="HA165" s="353"/>
      <c r="HB165" s="353"/>
      <c r="HC165" s="353"/>
      <c r="HD165" s="353"/>
      <c r="HE165" s="353"/>
      <c r="HF165" s="353"/>
      <c r="HG165" s="353"/>
      <c r="HH165" s="353"/>
      <c r="HI165" s="353"/>
      <c r="HJ165" s="353"/>
      <c r="HK165" s="353"/>
      <c r="HL165" s="353"/>
      <c r="HM165" s="353"/>
      <c r="HN165" s="353"/>
      <c r="HO165" s="353"/>
      <c r="HP165" s="353"/>
      <c r="HQ165" s="353"/>
      <c r="HR165" s="353"/>
      <c r="HS165" s="353"/>
      <c r="HT165" s="353"/>
    </row>
    <row r="168" spans="1:228" ht="12.6" customHeight="1"/>
    <row r="179" ht="12.6" customHeight="1"/>
  </sheetData>
  <customSheetViews>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1"/>
      <headerFooter alignWithMargins="0">
        <oddFooter>&amp;L&amp;D &amp;T&amp;RO:\Naes\GenSvcs\TVA\TVA Model\&amp;F
&amp;A &amp;P</oddFooter>
      </headerFooter>
    </customSheetView>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A295"/>
  <sheetViews>
    <sheetView topLeftCell="A43" zoomScale="75" zoomScaleNormal="75" zoomScaleSheetLayoutView="85" workbookViewId="0">
      <selection activeCell="D77" sqref="D77:X77"/>
    </sheetView>
  </sheetViews>
  <sheetFormatPr defaultColWidth="9.28515625" defaultRowHeight="12.6" customHeight="1"/>
  <cols>
    <col min="1" max="1" width="9.140625" style="1" customWidth="1"/>
    <col min="2" max="2" width="28.140625" style="36" customWidth="1"/>
    <col min="3" max="3" width="8.28515625" style="36" customWidth="1"/>
    <col min="4" max="4" width="10.42578125" style="36" bestFit="1" customWidth="1"/>
    <col min="5" max="5" width="10" style="36" customWidth="1"/>
    <col min="6" max="8" width="10.28515625" style="36" customWidth="1"/>
    <col min="9" max="9" width="10.28515625" style="36" bestFit="1" customWidth="1"/>
    <col min="10" max="10" width="10.42578125" style="36" customWidth="1"/>
    <col min="11" max="11" width="10.42578125" style="36" bestFit="1" customWidth="1"/>
    <col min="12" max="13" width="10" style="36" customWidth="1"/>
    <col min="14" max="14" width="10.28515625" style="36" customWidth="1"/>
    <col min="15" max="16" width="10" style="36" customWidth="1"/>
    <col min="17" max="17" width="10.42578125" style="36" customWidth="1"/>
    <col min="18" max="18" width="10.28515625" style="36" customWidth="1"/>
    <col min="19" max="19" width="9.85546875" style="36" customWidth="1"/>
    <col min="20" max="20" width="10.42578125" style="36" customWidth="1"/>
    <col min="21" max="23" width="10.28515625" style="36" customWidth="1"/>
    <col min="24" max="24" width="9.85546875" style="36" bestFit="1" customWidth="1"/>
    <col min="25" max="25" width="8.7109375" style="36" bestFit="1" customWidth="1"/>
    <col min="26" max="28" width="7.140625" style="36" customWidth="1"/>
    <col min="29" max="30" width="9.28515625" style="36" bestFit="1" customWidth="1"/>
    <col min="31" max="31" width="9.7109375" style="27" customWidth="1"/>
    <col min="32" max="32" width="10.7109375" style="36" customWidth="1"/>
    <col min="33" max="33" width="9.28515625" style="36" bestFit="1" customWidth="1"/>
    <col min="34" max="35" width="9.28515625" style="36" customWidth="1"/>
    <col min="36" max="16384" width="9.28515625" style="1"/>
  </cols>
  <sheetData>
    <row r="1" spans="1:53" ht="20.25">
      <c r="B1" s="486" t="str">
        <f>'Project Assumptions'!$A$2</f>
        <v>WILTON CENTER, Will County, IL</v>
      </c>
      <c r="C1" s="487"/>
      <c r="D1" s="488"/>
      <c r="E1" s="489"/>
      <c r="AD1" s="38"/>
    </row>
    <row r="2" spans="1:53" ht="15.6" customHeight="1">
      <c r="B2" s="490" t="s">
        <v>37</v>
      </c>
      <c r="C2" s="491"/>
      <c r="D2" s="492"/>
      <c r="E2" s="493"/>
      <c r="F2" s="336"/>
      <c r="G2" s="336"/>
      <c r="H2" s="337"/>
      <c r="I2" s="336"/>
      <c r="J2" s="336"/>
      <c r="K2" s="336"/>
      <c r="L2" s="336"/>
      <c r="M2" s="336"/>
      <c r="N2" s="336"/>
      <c r="O2" s="336"/>
      <c r="P2" s="336"/>
      <c r="Q2" s="336"/>
      <c r="R2" s="336"/>
      <c r="S2" s="336"/>
      <c r="T2" s="336"/>
      <c r="U2" s="336"/>
      <c r="V2" s="336"/>
      <c r="W2" s="336"/>
      <c r="X2" s="336"/>
      <c r="Y2" s="336"/>
      <c r="Z2" s="336"/>
      <c r="AA2" s="336"/>
      <c r="AB2" s="336"/>
      <c r="AD2" s="38"/>
    </row>
    <row r="3" spans="1:53" ht="15.6" customHeight="1">
      <c r="B3" s="338"/>
      <c r="C3" s="339"/>
      <c r="D3" s="340"/>
      <c r="E3" s="340"/>
      <c r="F3" s="336"/>
      <c r="G3" s="336"/>
      <c r="H3" s="336"/>
      <c r="I3" s="336"/>
      <c r="J3" s="336"/>
      <c r="K3" s="336"/>
      <c r="L3" s="336"/>
      <c r="M3" s="336"/>
      <c r="N3" s="336"/>
      <c r="O3" s="336"/>
      <c r="P3" s="336"/>
      <c r="Q3" s="336"/>
      <c r="R3" s="336"/>
      <c r="S3" s="336"/>
      <c r="T3" s="336"/>
      <c r="U3" s="336"/>
      <c r="V3" s="336"/>
      <c r="W3" s="336"/>
      <c r="X3" s="336"/>
      <c r="Y3" s="336"/>
      <c r="Z3" s="336"/>
      <c r="AA3" s="336"/>
      <c r="AB3" s="336"/>
      <c r="AD3" s="38"/>
    </row>
    <row r="4" spans="1:53" ht="12.6" customHeight="1">
      <c r="B4" s="341"/>
      <c r="C4" s="342"/>
      <c r="D4" s="343">
        <v>1</v>
      </c>
      <c r="E4" s="343">
        <f>D4+1</f>
        <v>2</v>
      </c>
      <c r="F4" s="343">
        <f t="shared" ref="F4:AB4" si="0">E4+1</f>
        <v>3</v>
      </c>
      <c r="G4" s="343">
        <f t="shared" si="0"/>
        <v>4</v>
      </c>
      <c r="H4" s="343">
        <f t="shared" si="0"/>
        <v>5</v>
      </c>
      <c r="I4" s="343">
        <f t="shared" si="0"/>
        <v>6</v>
      </c>
      <c r="J4" s="343">
        <f t="shared" si="0"/>
        <v>7</v>
      </c>
      <c r="K4" s="343">
        <f t="shared" si="0"/>
        <v>8</v>
      </c>
      <c r="L4" s="343">
        <f t="shared" si="0"/>
        <v>9</v>
      </c>
      <c r="M4" s="343">
        <f t="shared" si="0"/>
        <v>10</v>
      </c>
      <c r="N4" s="343">
        <f t="shared" si="0"/>
        <v>11</v>
      </c>
      <c r="O4" s="343">
        <f t="shared" si="0"/>
        <v>12</v>
      </c>
      <c r="P4" s="343">
        <f t="shared" si="0"/>
        <v>13</v>
      </c>
      <c r="Q4" s="343">
        <f t="shared" si="0"/>
        <v>14</v>
      </c>
      <c r="R4" s="343">
        <f t="shared" si="0"/>
        <v>15</v>
      </c>
      <c r="S4" s="343">
        <f t="shared" si="0"/>
        <v>16</v>
      </c>
      <c r="T4" s="343">
        <f t="shared" si="0"/>
        <v>17</v>
      </c>
      <c r="U4" s="343">
        <f t="shared" si="0"/>
        <v>18</v>
      </c>
      <c r="V4" s="343">
        <f t="shared" si="0"/>
        <v>19</v>
      </c>
      <c r="W4" s="343">
        <f t="shared" si="0"/>
        <v>20</v>
      </c>
      <c r="X4" s="343">
        <f t="shared" si="0"/>
        <v>21</v>
      </c>
      <c r="Y4" s="343">
        <f t="shared" si="0"/>
        <v>22</v>
      </c>
      <c r="Z4" s="343">
        <f t="shared" si="0"/>
        <v>23</v>
      </c>
      <c r="AA4" s="343">
        <f t="shared" si="0"/>
        <v>24</v>
      </c>
      <c r="AB4" s="344">
        <f t="shared" si="0"/>
        <v>25</v>
      </c>
      <c r="AD4" s="38"/>
    </row>
    <row r="5" spans="1:53" ht="12.6" customHeight="1">
      <c r="B5" s="496"/>
      <c r="C5" s="363"/>
      <c r="D5" s="494">
        <f>YEAR(StartDate)</f>
        <v>2000</v>
      </c>
      <c r="E5" s="494">
        <f>D5+1</f>
        <v>2001</v>
      </c>
      <c r="F5" s="494">
        <f t="shared" ref="F5:AB5" si="1">E5+1</f>
        <v>2002</v>
      </c>
      <c r="G5" s="494">
        <f t="shared" si="1"/>
        <v>2003</v>
      </c>
      <c r="H5" s="494">
        <f t="shared" si="1"/>
        <v>2004</v>
      </c>
      <c r="I5" s="494">
        <f t="shared" si="1"/>
        <v>2005</v>
      </c>
      <c r="J5" s="494">
        <f t="shared" si="1"/>
        <v>2006</v>
      </c>
      <c r="K5" s="494">
        <f t="shared" si="1"/>
        <v>2007</v>
      </c>
      <c r="L5" s="494">
        <f t="shared" si="1"/>
        <v>2008</v>
      </c>
      <c r="M5" s="494">
        <f t="shared" si="1"/>
        <v>2009</v>
      </c>
      <c r="N5" s="494">
        <f t="shared" si="1"/>
        <v>2010</v>
      </c>
      <c r="O5" s="494">
        <f t="shared" si="1"/>
        <v>2011</v>
      </c>
      <c r="P5" s="494">
        <f t="shared" si="1"/>
        <v>2012</v>
      </c>
      <c r="Q5" s="494">
        <f t="shared" si="1"/>
        <v>2013</v>
      </c>
      <c r="R5" s="494">
        <f t="shared" si="1"/>
        <v>2014</v>
      </c>
      <c r="S5" s="494">
        <f t="shared" si="1"/>
        <v>2015</v>
      </c>
      <c r="T5" s="494">
        <f t="shared" si="1"/>
        <v>2016</v>
      </c>
      <c r="U5" s="494">
        <f t="shared" si="1"/>
        <v>2017</v>
      </c>
      <c r="V5" s="494">
        <f t="shared" si="1"/>
        <v>2018</v>
      </c>
      <c r="W5" s="494">
        <f t="shared" si="1"/>
        <v>2019</v>
      </c>
      <c r="X5" s="494">
        <f t="shared" si="1"/>
        <v>2020</v>
      </c>
      <c r="Y5" s="494">
        <f t="shared" si="1"/>
        <v>2021</v>
      </c>
      <c r="Z5" s="494">
        <f t="shared" si="1"/>
        <v>2022</v>
      </c>
      <c r="AA5" s="494">
        <f t="shared" si="1"/>
        <v>2023</v>
      </c>
      <c r="AB5" s="495">
        <f t="shared" si="1"/>
        <v>2024</v>
      </c>
      <c r="AC5" s="40"/>
      <c r="AD5" s="40"/>
      <c r="AF5" s="40"/>
      <c r="AG5" s="40"/>
      <c r="AH5" s="40"/>
      <c r="AI5" s="40"/>
      <c r="AJ5" s="22"/>
      <c r="AK5" s="22"/>
      <c r="AL5" s="22"/>
      <c r="AM5" s="22"/>
      <c r="AN5" s="22"/>
      <c r="AO5" s="22"/>
      <c r="AP5" s="22"/>
      <c r="AQ5" s="22"/>
      <c r="AR5" s="22"/>
      <c r="AS5" s="22"/>
      <c r="AT5" s="22"/>
      <c r="AU5" s="22"/>
      <c r="AV5" s="22"/>
      <c r="AW5" s="22"/>
      <c r="AX5" s="22"/>
      <c r="AY5" s="22"/>
      <c r="AZ5" s="22"/>
      <c r="BA5" s="22"/>
    </row>
    <row r="6" spans="1:53" ht="12.6" customHeight="1">
      <c r="B6" s="345" t="str">
        <f>'PPA Assumptions &amp;Summary'!A5</f>
        <v>Months of Operation</v>
      </c>
      <c r="C6" s="346"/>
      <c r="D6" s="347">
        <f>'PPA Assumptions &amp;Summary'!C5</f>
        <v>7</v>
      </c>
      <c r="E6" s="347">
        <f>'PPA Assumptions &amp;Summary'!D5</f>
        <v>12</v>
      </c>
      <c r="F6" s="347">
        <f>'PPA Assumptions &amp;Summary'!E5</f>
        <v>12</v>
      </c>
      <c r="G6" s="347">
        <f>'PPA Assumptions &amp;Summary'!F5</f>
        <v>12</v>
      </c>
      <c r="H6" s="347">
        <f>'PPA Assumptions &amp;Summary'!G5</f>
        <v>12</v>
      </c>
      <c r="I6" s="347">
        <f>'PPA Assumptions &amp;Summary'!H5</f>
        <v>12</v>
      </c>
      <c r="J6" s="347">
        <f>'PPA Assumptions &amp;Summary'!I5</f>
        <v>12</v>
      </c>
      <c r="K6" s="347">
        <f>'PPA Assumptions &amp;Summary'!J5</f>
        <v>12</v>
      </c>
      <c r="L6" s="347">
        <f>'PPA Assumptions &amp;Summary'!K5</f>
        <v>12</v>
      </c>
      <c r="M6" s="347">
        <f>'PPA Assumptions &amp;Summary'!L5</f>
        <v>12</v>
      </c>
      <c r="N6" s="347">
        <f>'PPA Assumptions &amp;Summary'!M5</f>
        <v>12</v>
      </c>
      <c r="O6" s="347">
        <f>'PPA Assumptions &amp;Summary'!N5</f>
        <v>12</v>
      </c>
      <c r="P6" s="347">
        <f>'PPA Assumptions &amp;Summary'!O5</f>
        <v>12</v>
      </c>
      <c r="Q6" s="347">
        <f>'PPA Assumptions &amp;Summary'!P5</f>
        <v>12</v>
      </c>
      <c r="R6" s="347">
        <f>'PPA Assumptions &amp;Summary'!Q5</f>
        <v>12</v>
      </c>
      <c r="S6" s="347">
        <f>'PPA Assumptions &amp;Summary'!R5</f>
        <v>12</v>
      </c>
      <c r="T6" s="347">
        <f>'PPA Assumptions &amp;Summary'!S5</f>
        <v>12</v>
      </c>
      <c r="U6" s="347">
        <f>'PPA Assumptions &amp;Summary'!T5</f>
        <v>12</v>
      </c>
      <c r="V6" s="347">
        <f>'PPA Assumptions &amp;Summary'!U5</f>
        <v>12</v>
      </c>
      <c r="W6" s="347">
        <f>'PPA Assumptions &amp;Summary'!V5</f>
        <v>12</v>
      </c>
      <c r="X6" s="347">
        <f>'PPA Assumptions &amp;Summary'!W5</f>
        <v>5</v>
      </c>
      <c r="Y6" s="347">
        <f>'PPA Assumptions &amp;Summary'!X5</f>
        <v>0</v>
      </c>
      <c r="Z6" s="347">
        <f>'PPA Assumptions &amp;Summary'!Y5</f>
        <v>0</v>
      </c>
      <c r="AA6" s="347">
        <f>'PPA Assumptions &amp;Summary'!Z5</f>
        <v>0</v>
      </c>
      <c r="AB6" s="348">
        <f>'PPA Assumptions &amp;Summary'!AA5</f>
        <v>0</v>
      </c>
      <c r="AD6" s="38"/>
    </row>
    <row r="7" spans="1:53" ht="12.6" customHeight="1">
      <c r="B7" s="345" t="str">
        <f>'PPA Assumptions &amp;Summary'!A6</f>
        <v>Months of Year Under PPA</v>
      </c>
      <c r="C7" s="346"/>
      <c r="D7" s="347">
        <f>'PPA Assumptions &amp;Summary'!C6</f>
        <v>7</v>
      </c>
      <c r="E7" s="347">
        <f>'PPA Assumptions &amp;Summary'!D6</f>
        <v>12</v>
      </c>
      <c r="F7" s="347">
        <f>'PPA Assumptions &amp;Summary'!E6</f>
        <v>12</v>
      </c>
      <c r="G7" s="347">
        <f>'PPA Assumptions &amp;Summary'!F6</f>
        <v>5</v>
      </c>
      <c r="H7" s="347">
        <f>'PPA Assumptions &amp;Summary'!G6</f>
        <v>0</v>
      </c>
      <c r="I7" s="347">
        <f>'PPA Assumptions &amp;Summary'!H6</f>
        <v>0</v>
      </c>
      <c r="J7" s="347">
        <f>'PPA Assumptions &amp;Summary'!I6</f>
        <v>0</v>
      </c>
      <c r="K7" s="347">
        <f>'PPA Assumptions &amp;Summary'!J6</f>
        <v>0</v>
      </c>
      <c r="L7" s="347">
        <f>'PPA Assumptions &amp;Summary'!K6</f>
        <v>0</v>
      </c>
      <c r="M7" s="347">
        <f>'PPA Assumptions &amp;Summary'!L6</f>
        <v>0</v>
      </c>
      <c r="N7" s="347">
        <f>'PPA Assumptions &amp;Summary'!M6</f>
        <v>0</v>
      </c>
      <c r="O7" s="347">
        <f>'PPA Assumptions &amp;Summary'!N6</f>
        <v>0</v>
      </c>
      <c r="P7" s="347">
        <f>'PPA Assumptions &amp;Summary'!O6</f>
        <v>0</v>
      </c>
      <c r="Q7" s="347">
        <f>'PPA Assumptions &amp;Summary'!P6</f>
        <v>0</v>
      </c>
      <c r="R7" s="347">
        <f>'PPA Assumptions &amp;Summary'!Q6</f>
        <v>0</v>
      </c>
      <c r="S7" s="347">
        <f>'PPA Assumptions &amp;Summary'!R6</f>
        <v>0</v>
      </c>
      <c r="T7" s="347">
        <f>'PPA Assumptions &amp;Summary'!S6</f>
        <v>0</v>
      </c>
      <c r="U7" s="347">
        <f>'PPA Assumptions &amp;Summary'!T6</f>
        <v>0</v>
      </c>
      <c r="V7" s="347">
        <f>'PPA Assumptions &amp;Summary'!U6</f>
        <v>0</v>
      </c>
      <c r="W7" s="347">
        <f>'PPA Assumptions &amp;Summary'!V6</f>
        <v>0</v>
      </c>
      <c r="X7" s="347">
        <f>'PPA Assumptions &amp;Summary'!W6</f>
        <v>0</v>
      </c>
      <c r="Y7" s="347">
        <f>'PPA Assumptions &amp;Summary'!X6</f>
        <v>0</v>
      </c>
      <c r="Z7" s="347">
        <f>'PPA Assumptions &amp;Summary'!Y6</f>
        <v>0</v>
      </c>
      <c r="AA7" s="347">
        <f>'PPA Assumptions &amp;Summary'!Z6</f>
        <v>0</v>
      </c>
      <c r="AB7" s="348">
        <f>'PPA Assumptions &amp;Summary'!AA6</f>
        <v>0</v>
      </c>
      <c r="AD7" s="38"/>
    </row>
    <row r="8" spans="1:53" s="2" customFormat="1" ht="12.6" customHeight="1">
      <c r="B8" s="349" t="str">
        <f>'PPA Assumptions &amp;Summary'!A7</f>
        <v>Months of Year Merchant</v>
      </c>
      <c r="C8" s="350"/>
      <c r="D8" s="351">
        <f>'PPA Assumptions &amp;Summary'!C7</f>
        <v>0</v>
      </c>
      <c r="E8" s="351">
        <f>'PPA Assumptions &amp;Summary'!D7</f>
        <v>0</v>
      </c>
      <c r="F8" s="351">
        <f>'PPA Assumptions &amp;Summary'!E7</f>
        <v>0</v>
      </c>
      <c r="G8" s="351">
        <f>'PPA Assumptions &amp;Summary'!F7</f>
        <v>7</v>
      </c>
      <c r="H8" s="351">
        <f>'PPA Assumptions &amp;Summary'!G7</f>
        <v>12</v>
      </c>
      <c r="I8" s="351">
        <f>'PPA Assumptions &amp;Summary'!H7</f>
        <v>12</v>
      </c>
      <c r="J8" s="351">
        <f>'PPA Assumptions &amp;Summary'!I7</f>
        <v>12</v>
      </c>
      <c r="K8" s="351">
        <f>'PPA Assumptions &amp;Summary'!J7</f>
        <v>12</v>
      </c>
      <c r="L8" s="351">
        <f>'PPA Assumptions &amp;Summary'!K7</f>
        <v>12</v>
      </c>
      <c r="M8" s="351">
        <f>'PPA Assumptions &amp;Summary'!L7</f>
        <v>12</v>
      </c>
      <c r="N8" s="351">
        <f>'PPA Assumptions &amp;Summary'!M7</f>
        <v>12</v>
      </c>
      <c r="O8" s="351">
        <f>'PPA Assumptions &amp;Summary'!N7</f>
        <v>12</v>
      </c>
      <c r="P8" s="351">
        <f>'PPA Assumptions &amp;Summary'!O7</f>
        <v>12</v>
      </c>
      <c r="Q8" s="351">
        <f>'PPA Assumptions &amp;Summary'!P7</f>
        <v>12</v>
      </c>
      <c r="R8" s="351">
        <f>'PPA Assumptions &amp;Summary'!Q7</f>
        <v>12</v>
      </c>
      <c r="S8" s="351">
        <f>'PPA Assumptions &amp;Summary'!R7</f>
        <v>12</v>
      </c>
      <c r="T8" s="351">
        <f>'PPA Assumptions &amp;Summary'!S7</f>
        <v>12</v>
      </c>
      <c r="U8" s="351">
        <f>'PPA Assumptions &amp;Summary'!T7</f>
        <v>12</v>
      </c>
      <c r="V8" s="351">
        <f>'PPA Assumptions &amp;Summary'!U7</f>
        <v>12</v>
      </c>
      <c r="W8" s="351">
        <f>'PPA Assumptions &amp;Summary'!V7</f>
        <v>12</v>
      </c>
      <c r="X8" s="351">
        <f>'PPA Assumptions &amp;Summary'!W7</f>
        <v>5</v>
      </c>
      <c r="Y8" s="351">
        <f>'PPA Assumptions &amp;Summary'!X7</f>
        <v>0</v>
      </c>
      <c r="Z8" s="351">
        <f>'PPA Assumptions &amp;Summary'!Y7</f>
        <v>0</v>
      </c>
      <c r="AA8" s="351">
        <f>'PPA Assumptions &amp;Summary'!Z7</f>
        <v>0</v>
      </c>
      <c r="AB8" s="352">
        <f>'PPA Assumptions &amp;Summary'!AA7</f>
        <v>0</v>
      </c>
      <c r="AC8" s="353"/>
      <c r="AD8" s="38"/>
      <c r="AE8" s="27"/>
      <c r="AF8" s="353"/>
      <c r="AG8" s="353"/>
      <c r="AH8" s="353"/>
      <c r="AI8" s="353"/>
    </row>
    <row r="9" spans="1:53" s="2" customFormat="1" ht="12.6" customHeight="1">
      <c r="B9" s="39"/>
      <c r="C9" s="353"/>
      <c r="D9" s="354"/>
      <c r="E9" s="354"/>
      <c r="F9" s="354"/>
      <c r="G9" s="354"/>
      <c r="H9" s="354"/>
      <c r="I9" s="354"/>
      <c r="J9" s="354"/>
      <c r="K9" s="354"/>
      <c r="L9" s="354"/>
      <c r="M9" s="354"/>
      <c r="N9" s="354"/>
      <c r="O9" s="354"/>
      <c r="P9" s="354"/>
      <c r="Q9" s="354"/>
      <c r="R9" s="354"/>
      <c r="S9" s="354"/>
      <c r="T9" s="354"/>
      <c r="U9" s="354"/>
      <c r="V9" s="354"/>
      <c r="W9" s="354"/>
      <c r="X9" s="354"/>
      <c r="Y9" s="354"/>
      <c r="Z9" s="354"/>
      <c r="AA9" s="354"/>
      <c r="AB9" s="354"/>
      <c r="AC9" s="353"/>
      <c r="AD9" s="38"/>
      <c r="AE9" s="27"/>
      <c r="AF9" s="353"/>
      <c r="AG9" s="353"/>
      <c r="AH9" s="353"/>
      <c r="AI9" s="353"/>
    </row>
    <row r="10" spans="1:53" s="2" customFormat="1" ht="12.6" customHeight="1">
      <c r="B10" s="355" t="s">
        <v>450</v>
      </c>
      <c r="C10" s="356"/>
      <c r="D10" s="343"/>
      <c r="E10" s="343"/>
      <c r="F10" s="357"/>
      <c r="G10" s="357"/>
      <c r="H10" s="357"/>
      <c r="I10" s="357"/>
      <c r="J10" s="357"/>
      <c r="K10" s="357"/>
      <c r="L10" s="357"/>
      <c r="M10" s="357"/>
      <c r="N10" s="357"/>
      <c r="O10" s="357"/>
      <c r="P10" s="357"/>
      <c r="Q10" s="357"/>
      <c r="R10" s="357"/>
      <c r="S10" s="357"/>
      <c r="T10" s="357"/>
      <c r="U10" s="357"/>
      <c r="V10" s="357"/>
      <c r="W10" s="357"/>
      <c r="X10" s="357"/>
      <c r="Y10" s="357"/>
      <c r="Z10" s="357"/>
      <c r="AA10" s="357"/>
      <c r="AB10" s="358"/>
      <c r="AC10" s="353"/>
      <c r="AD10" s="38"/>
      <c r="AE10" s="27"/>
      <c r="AF10" s="353"/>
      <c r="AG10" s="353"/>
      <c r="AH10" s="353"/>
      <c r="AI10" s="353"/>
    </row>
    <row r="11" spans="1:53" s="2" customFormat="1" ht="12.6" customHeight="1">
      <c r="B11" s="359" t="s">
        <v>348</v>
      </c>
      <c r="C11" s="346"/>
      <c r="D11" s="364">
        <f>(Operations!C25+Operations!C27)*'PPA Assumptions &amp;Summary'!C11/1000</f>
        <v>21838.752</v>
      </c>
      <c r="E11" s="364">
        <f>(Operations!D25+Operations!D27)*'PPA Assumptions &amp;Summary'!D11/1000</f>
        <v>21838.752</v>
      </c>
      <c r="F11" s="364">
        <f>(Operations!E25+Operations!E27)*'PPA Assumptions &amp;Summary'!E11/1000</f>
        <v>21838.752</v>
      </c>
      <c r="G11" s="364">
        <f>(Operations!F25+Operations!F27)*'PPA Assumptions &amp;Summary'!F11/1000</f>
        <v>22886.812396337496</v>
      </c>
      <c r="H11" s="364">
        <f>(Operations!G25+Operations!G27)*'PPA Assumptions &amp;Summary'!G11/1000</f>
        <v>23440.092858000004</v>
      </c>
      <c r="I11" s="364">
        <f>(Operations!H25+Operations!H27)*'PPA Assumptions &amp;Summary'!H11/1000</f>
        <v>23440.092858000004</v>
      </c>
      <c r="J11" s="364">
        <f>(Operations!I25+Operations!I27)*'PPA Assumptions &amp;Summary'!I11/1000</f>
        <v>23440.092858000004</v>
      </c>
      <c r="K11" s="364">
        <f>(Operations!J25+Operations!J27)*'PPA Assumptions &amp;Summary'!J11/1000</f>
        <v>23440.092858000004</v>
      </c>
      <c r="L11" s="364">
        <f>(Operations!K25+Operations!K27)*'PPA Assumptions &amp;Summary'!K11/1000</f>
        <v>23440.092858000004</v>
      </c>
      <c r="M11" s="364">
        <f>(Operations!L25+Operations!L27)*'PPA Assumptions &amp;Summary'!L11/1000</f>
        <v>23440.092858000004</v>
      </c>
      <c r="N11" s="364">
        <f>(Operations!M25+Operations!M27)*'PPA Assumptions &amp;Summary'!M11/1000</f>
        <v>23440.092858000004</v>
      </c>
      <c r="O11" s="364">
        <f>(Operations!N25+Operations!N27)*'PPA Assumptions &amp;Summary'!N11/1000</f>
        <v>23440.092858000004</v>
      </c>
      <c r="P11" s="364">
        <f>(Operations!O25+Operations!O27)*'PPA Assumptions &amp;Summary'!O11/1000</f>
        <v>23440.092858000004</v>
      </c>
      <c r="Q11" s="364">
        <f>(Operations!P25+Operations!P27)*'PPA Assumptions &amp;Summary'!P11/1000</f>
        <v>23440.092858000004</v>
      </c>
      <c r="R11" s="364">
        <f>(Operations!Q25+Operations!Q27)*'PPA Assumptions &amp;Summary'!Q11/1000</f>
        <v>23440.092858000004</v>
      </c>
      <c r="S11" s="364">
        <f>(Operations!R25+Operations!R27)*'PPA Assumptions &amp;Summary'!R11/1000</f>
        <v>23440.092858000004</v>
      </c>
      <c r="T11" s="364">
        <f>(Operations!S25+Operations!S27)*'PPA Assumptions &amp;Summary'!S11/1000</f>
        <v>23440.092858000004</v>
      </c>
      <c r="U11" s="364">
        <f>(Operations!T25+Operations!T27)*'PPA Assumptions &amp;Summary'!T11/1000</f>
        <v>23440.092858000004</v>
      </c>
      <c r="V11" s="364">
        <f>(Operations!U25+Operations!U27)*'PPA Assumptions &amp;Summary'!U11/1000</f>
        <v>23440.092858000004</v>
      </c>
      <c r="W11" s="364">
        <f>(Operations!V25+Operations!V27)*'PPA Assumptions &amp;Summary'!V11/1000</f>
        <v>23440.092858000004</v>
      </c>
      <c r="X11" s="364">
        <f>(Operations!W25+Operations!W27)*'PPA Assumptions &amp;Summary'!W11/1000</f>
        <v>9880.6502533374969</v>
      </c>
      <c r="Y11" s="364">
        <f>(Operations!X25+Operations!X27)*'PPA Assumptions &amp;Summary'!X11/1000</f>
        <v>0</v>
      </c>
      <c r="Z11" s="364">
        <f>(Operations!Y25+Operations!Y27)*'PPA Assumptions &amp;Summary'!Y11/1000</f>
        <v>0</v>
      </c>
      <c r="AA11" s="364">
        <f>(Operations!Z25+Operations!Z27)*'PPA Assumptions &amp;Summary'!Z11/1000</f>
        <v>0</v>
      </c>
      <c r="AB11" s="365">
        <f>(Operations!AA25+Operations!AA27)*'PPA Assumptions &amp;Summary'!AA11/1000</f>
        <v>0</v>
      </c>
      <c r="AC11" s="353"/>
      <c r="AD11" s="38"/>
      <c r="AE11" s="27"/>
      <c r="AF11" s="353"/>
      <c r="AG11" s="353"/>
      <c r="AH11" s="353"/>
      <c r="AI11" s="353"/>
    </row>
    <row r="12" spans="1:53" ht="12.6" customHeight="1">
      <c r="A12" s="1">
        <v>1</v>
      </c>
      <c r="B12" s="362" t="s">
        <v>349</v>
      </c>
      <c r="C12" s="363"/>
      <c r="D12" s="364">
        <f>(PPACAPACITY*'PPA Assumptions &amp;Summary'!C12*D7)+((Operations!C17*(1-Cap_Factor_Energy))*'PPA Assumptions &amp;Summary'!C13*D8)</f>
        <v>17024</v>
      </c>
      <c r="E12" s="364">
        <f>(PPACAPACITY*'PPA Assumptions &amp;Summary'!D12*E7)+((Operations!D17*(1-Cap_Factor_Energy))*'PPA Assumptions &amp;Summary'!D13*E8)</f>
        <v>29184</v>
      </c>
      <c r="F12" s="364">
        <f>(PPACAPACITY*'PPA Assumptions &amp;Summary'!E12*F7)+((Operations!E17*(1-Cap_Factor_Energy))*'PPA Assumptions &amp;Summary'!E13*F8)</f>
        <v>29184</v>
      </c>
      <c r="G12" s="364">
        <f>(PPACAPACITY*'PPA Assumptions &amp;Summary'!F12*G7)+((Operations!F17*(1-Cap_Factor_Energy))*'PPA Assumptions &amp;Summary'!F13*G8)</f>
        <v>40271.074130372021</v>
      </c>
      <c r="H12" s="364">
        <f>(PPACAPACITY*'PPA Assumptions &amp;Summary'!G12*H7)+((Operations!G17*(1-Cap_Factor_Energy))*'PPA Assumptions &amp;Summary'!G13*H8)</f>
        <v>48872.492483713148</v>
      </c>
      <c r="I12" s="364">
        <f>(PPACAPACITY*'PPA Assumptions &amp;Summary'!H12*I7)+((Operations!H17*(1-Cap_Factor_Energy))*'PPA Assumptions &amp;Summary'!H13*I8)</f>
        <v>50338.667258224545</v>
      </c>
      <c r="J12" s="364">
        <f>(PPACAPACITY*'PPA Assumptions &amp;Summary'!I12*J7)+((Operations!I17*(1-Cap_Factor_Energy))*'PPA Assumptions &amp;Summary'!I13*J8)</f>
        <v>50228.551423597179</v>
      </c>
      <c r="K12" s="364">
        <f>(PPACAPACITY*'PPA Assumptions &amp;Summary'!J12*K7)+((Operations!J17*(1-Cap_Factor_Energy))*'PPA Assumptions &amp;Summary'!J13*K8)</f>
        <v>50900.965902332435</v>
      </c>
      <c r="L12" s="364">
        <f>(PPACAPACITY*'PPA Assumptions &amp;Summary'!K12*L7)+((Operations!K17*(1-Cap_Factor_Energy))*'PPA Assumptions &amp;Summary'!K13*L8)</f>
        <v>51568.519553510559</v>
      </c>
      <c r="M12" s="364">
        <f>(PPACAPACITY*'PPA Assumptions &amp;Summary'!L12*M7)+((Operations!L17*(1-Cap_Factor_Energy))*'PPA Assumptions &amp;Summary'!L13*M8)</f>
        <v>52230.315554447283</v>
      </c>
      <c r="N12" s="364">
        <f>(PPACAPACITY*'PPA Assumptions &amp;Summary'!M12*N7)+((Operations!M17*(1-Cap_Factor_Energy))*'PPA Assumptions &amp;Summary'!M13*N8)</f>
        <v>52885.407647842032</v>
      </c>
      <c r="O12" s="364">
        <f>(PPACAPACITY*'PPA Assumptions &amp;Summary'!N12*O7)+((Operations!N17*(1-Cap_Factor_Energy))*'PPA Assumptions &amp;Summary'!N13*O8)</f>
        <v>53532.79798284149</v>
      </c>
      <c r="P12" s="364">
        <f>(PPACAPACITY*'PPA Assumptions &amp;Summary'!O12*P7)+((Operations!O17*(1-Cap_Factor_Energy))*'PPA Assumptions &amp;Summary'!O13*P8)</f>
        <v>54171.434871057834</v>
      </c>
      <c r="Q12" s="364">
        <f>(PPACAPACITY*'PPA Assumptions &amp;Summary'!P12*Q7)+((Operations!P17*(1-Cap_Factor_Energy))*'PPA Assumptions &amp;Summary'!P13*Q8)</f>
        <v>54800.210454382635</v>
      </c>
      <c r="R12" s="364">
        <f>(PPACAPACITY*'PPA Assumptions &amp;Summary'!Q12*R7)+((Operations!Q17*(1-Cap_Factor_Energy))*'PPA Assumptions &amp;Summary'!Q13*R8)</f>
        <v>55417.958281322935</v>
      </c>
      <c r="S12" s="364">
        <f>(PPACAPACITY*'PPA Assumptions &amp;Summary'!R12*S7)+((Operations!R17*(1-Cap_Factor_Energy))*'PPA Assumptions &amp;Summary'!R13*S8)</f>
        <v>56023.450788470727</v>
      </c>
      <c r="T12" s="364">
        <f>(PPACAPACITY*'PPA Assumptions &amp;Summary'!S12*T7)+((Operations!S17*(1-Cap_Factor_Energy))*'PPA Assumptions &amp;Summary'!S13*T8)</f>
        <v>56615.396683594176</v>
      </c>
      <c r="U12" s="364">
        <f>(PPACAPACITY*'PPA Assumptions &amp;Summary'!T12*U7)+((Operations!T17*(1-Cap_Factor_Energy))*'PPA Assumptions &amp;Summary'!T13*U8)</f>
        <v>57192.438226715421</v>
      </c>
      <c r="V12" s="364">
        <f>(PPACAPACITY*'PPA Assumptions &amp;Summary'!U12*V7)+((Operations!U17*(1-Cap_Factor_Energy))*'PPA Assumptions &amp;Summary'!U13*V8)</f>
        <v>57753.14840540872</v>
      </c>
      <c r="W12" s="364">
        <f>(PPACAPACITY*'PPA Assumptions &amp;Summary'!V12*W7)+((Operations!V17*(1-Cap_Factor_Energy))*'PPA Assumptions &amp;Summary'!V13*W8)</f>
        <v>57106.313143268133</v>
      </c>
      <c r="X12" s="364">
        <f>(PPACAPACITY*'PPA Assumptions &amp;Summary'!W12*X7)+((Operations!W17*(1-Cap_Factor_Energy))*'PPA Assumptions &amp;Summary'!W13*X8)</f>
        <v>23997.540097791756</v>
      </c>
      <c r="Y12" s="364">
        <f>(PPACAPACITY*'PPA Assumptions &amp;Summary'!X12*Y7)+((Operations!X17*(1-Cap_Factor_Energy))*'PPA Assumptions &amp;Summary'!X13*Y8)</f>
        <v>0</v>
      </c>
      <c r="Z12" s="364">
        <f>(PPACAPACITY*'PPA Assumptions &amp;Summary'!Y12*Z7)+((Operations!Y17*(1-Cap_Factor_Energy))*'PPA Assumptions &amp;Summary'!Y13*Z8)</f>
        <v>0</v>
      </c>
      <c r="AA12" s="364">
        <f>(PPACAPACITY*'PPA Assumptions &amp;Summary'!Z12*AA7)+((Operations!Z17*(1-Cap_Factor_Energy))*'PPA Assumptions &amp;Summary'!Z13*AA8)</f>
        <v>0</v>
      </c>
      <c r="AB12" s="365">
        <f>(PPACAPACITY*'PPA Assumptions &amp;Summary'!AA12*AB7)+((Operations!AA17*(1-Cap_Factor_Energy))*'PPA Assumptions &amp;Summary'!AA13*AB8)</f>
        <v>0</v>
      </c>
    </row>
    <row r="13" spans="1:53" ht="12.6" customHeight="1">
      <c r="B13" s="362" t="s">
        <v>569</v>
      </c>
      <c r="C13" s="363"/>
      <c r="D13" s="364">
        <f>(Operations!C25+Operations!C27)*'PPA Assumptions &amp;Summary'!C25/1000</f>
        <v>648.36440000000016</v>
      </c>
      <c r="E13" s="364">
        <f>(Operations!D25+Operations!D27)*'PPA Assumptions &amp;Summary'!D25/1000</f>
        <v>667.81533200000001</v>
      </c>
      <c r="F13" s="364">
        <f>(Operations!E25+Operations!E27)*'PPA Assumptions &amp;Summary'!E25/1000</f>
        <v>687.84979196000006</v>
      </c>
      <c r="G13" s="364">
        <f>(Operations!F25+Operations!F27)*'PPA Assumptions &amp;Summary'!F25/1000</f>
        <v>742.48610084549455</v>
      </c>
      <c r="H13" s="364">
        <f>(Operations!G25+Operations!G27)*'PPA Assumptions &amp;Summary'!G25/1000</f>
        <v>783.24849846495772</v>
      </c>
      <c r="I13" s="364">
        <f>(Operations!H25+Operations!H27)*'PPA Assumptions &amp;Summary'!H25/1000</f>
        <v>806.74595341890642</v>
      </c>
      <c r="J13" s="364">
        <f>(Operations!I25+Operations!I27)*'PPA Assumptions &amp;Summary'!I25/1000</f>
        <v>830.94833202147368</v>
      </c>
      <c r="K13" s="364">
        <f>(Operations!J25+Operations!J27)*'PPA Assumptions &amp;Summary'!J25/1000</f>
        <v>855.8767819821179</v>
      </c>
      <c r="L13" s="364">
        <f>(Operations!K25+Operations!K27)*'PPA Assumptions &amp;Summary'!K25/1000</f>
        <v>881.55308544158129</v>
      </c>
      <c r="M13" s="364">
        <f>(Operations!L25+Operations!L27)*'PPA Assumptions &amp;Summary'!L25/1000</f>
        <v>907.99967800482898</v>
      </c>
      <c r="N13" s="364">
        <f>(Operations!M25+Operations!M27)*'PPA Assumptions &amp;Summary'!M25/1000</f>
        <v>935.23966834497367</v>
      </c>
      <c r="O13" s="364">
        <f>(Operations!N25+Operations!N27)*'PPA Assumptions &amp;Summary'!N25/1000</f>
        <v>963.29685839532294</v>
      </c>
      <c r="P13" s="364">
        <f>(Operations!O25+Operations!O27)*'PPA Assumptions &amp;Summary'!O25/1000</f>
        <v>992.19576414718233</v>
      </c>
      <c r="Q13" s="364">
        <f>(Operations!P25+Operations!P27)*'PPA Assumptions &amp;Summary'!P25/1000</f>
        <v>1021.961637071598</v>
      </c>
      <c r="R13" s="364">
        <f>(Operations!Q25+Operations!Q27)*'PPA Assumptions &amp;Summary'!Q25/1000</f>
        <v>1052.6204861837459</v>
      </c>
      <c r="S13" s="364">
        <f>(Operations!R25+Operations!R27)*'PPA Assumptions &amp;Summary'!R25/1000</f>
        <v>1084.1991007692584</v>
      </c>
      <c r="T13" s="364">
        <f>(Operations!S25+Operations!S27)*'PPA Assumptions &amp;Summary'!S25/1000</f>
        <v>1116.7250737923359</v>
      </c>
      <c r="U13" s="364">
        <f>(Operations!T25+Operations!T27)*'PPA Assumptions &amp;Summary'!T25/1000</f>
        <v>1150.2268260061062</v>
      </c>
      <c r="V13" s="364">
        <f>(Operations!U25+Operations!U27)*'PPA Assumptions &amp;Summary'!U25/1000</f>
        <v>1184.7336307862893</v>
      </c>
      <c r="W13" s="364">
        <f>(Operations!V25+Operations!V27)*'PPA Assumptions &amp;Summary'!V25/1000</f>
        <v>1220.2756397098781</v>
      </c>
      <c r="X13" s="364">
        <f>(Operations!W25+Operations!W27)*'PPA Assumptions &amp;Summary'!W25/1000</f>
        <v>529.8114810437587</v>
      </c>
      <c r="Y13" s="364">
        <f>(Operations!X25+Operations!X27)*'PPA Assumptions &amp;Summary'!X25/1000</f>
        <v>0</v>
      </c>
      <c r="Z13" s="364">
        <f>(Operations!Y25+Operations!Y27)*'PPA Assumptions &amp;Summary'!Y25/1000</f>
        <v>0</v>
      </c>
      <c r="AA13" s="364">
        <f>(Operations!Z25+Operations!Z27)*'PPA Assumptions &amp;Summary'!Z25/1000</f>
        <v>0</v>
      </c>
      <c r="AB13" s="365">
        <f>(Operations!AA25+Operations!AA27)*'PPA Assumptions &amp;Summary'!AA25/1000</f>
        <v>0</v>
      </c>
    </row>
    <row r="14" spans="1:53" ht="12.6" customHeight="1">
      <c r="B14" s="359" t="s">
        <v>647</v>
      </c>
      <c r="C14" s="346"/>
      <c r="D14" s="364">
        <f>IF(D4&gt;ProjectLife+1,0,(Main_Start*'Project Assumptions'!$L$15*((1+Main_Escal)^(D5-BaseYr))+Fuel_Start*'Project Assumptions'!$L$16)/1000)+((Main_Start*1/3)*'Project Assumptions'!$L$15*((1+Main_Escal)^(D5-BaseYr))+Fuel_Start*'Project Assumptions'!$L$16)/1000*D8/12</f>
        <v>1853.0111999999999</v>
      </c>
      <c r="E14" s="364">
        <f>IF(E4&gt;ProjectLife+1,0,(Main_Start*'Project Assumptions'!$L$15*((1+Main_Escal)^(E5-BaseYr))+Fuel_Start*'Project Assumptions'!$L$16)/1000)*E7/12+((Main_Start*1/3)*'Project Assumptions'!$L$15*((1+Main_Escal)^(E5-BaseYr))+Fuel_Start*'Project Assumptions'!$L$16)/1000*E8/12</f>
        <v>1908.6015359999999</v>
      </c>
      <c r="F14" s="364">
        <f>IF(F4&gt;ProjectLife+1,0,(Main_Start*'Project Assumptions'!$L$15*((1+Main_Escal)^(F5-BaseYr))+Fuel_Start*'Project Assumptions'!$L$16)/1000)*F7/12+((Main_Start*1/3)*'Project Assumptions'!$L$15*((1+Main_Escal)^(F5-BaseYr))+Fuel_Start*'Project Assumptions'!$L$16)/1000*F8/12</f>
        <v>1965.8595820800001</v>
      </c>
      <c r="G14" s="364">
        <f>IF(G4&gt;ProjectLife+1,0,(Main_Start*'Project Assumptions'!$L$15*((1+Main_Escal)^(G5-BaseYr))+Fuel_Start*'Project Assumptions'!$L$16)/1000)*G7/12+((Main_Start*1/3)*'Project Assumptions'!$L$15*((1+Main_Escal)^(G5-BaseYr))+Fuel_Start*'Project Assumptions'!$L$16)/1000*G8/12</f>
        <v>1237.3993924981332</v>
      </c>
      <c r="H14" s="364">
        <f>IF(H4&gt;ProjectLife+1,0,(Main_Start*'Project Assumptions'!$L$15*((1+Main_Escal)^(H5-BaseYr))+Fuel_Start*'Project Assumptions'!$L$16)/1000)*H7/12+((Main_Start*1/3)*'Project Assumptions'!$L$15*((1+Main_Escal)^(H5-BaseYr))+Fuel_Start*'Project Assumptions'!$L$16)/1000*H8/12</f>
        <v>695.19347687622394</v>
      </c>
      <c r="I14" s="364">
        <f>IF(I4&gt;ProjectLife+1,0,(Main_Start*'Project Assumptions'!$L$15*((1+Main_Escal)^(I5-BaseYr))+Fuel_Start*'Project Assumptions'!$L$16)/1000)*I7/12+((Main_Start*1/3)*'Project Assumptions'!$L$15*((1+Main_Escal)^(I5-BaseYr))+Fuel_Start*'Project Assumptions'!$L$16)/1000*I8/12</f>
        <v>716.04928118251064</v>
      </c>
      <c r="J14" s="364">
        <f>IF(J4&gt;ProjectLife+1,0,(Main_Start*'Project Assumptions'!$L$15*((1+Main_Escal)^(J5-BaseYr))+Fuel_Start*'Project Assumptions'!$L$16)/1000)*J7/12+((Main_Start*1/3)*'Project Assumptions'!$L$15*((1+Main_Escal)^(J5-BaseYr))+Fuel_Start*'Project Assumptions'!$L$16)/1000*J8/12</f>
        <v>737.53075961798606</v>
      </c>
      <c r="K14" s="364">
        <f>IF(K4&gt;ProjectLife+1,0,(Main_Start*'Project Assumptions'!$L$15*((1+Main_Escal)^(K5-BaseYr))+Fuel_Start*'Project Assumptions'!$L$16)/1000)*K7/12+((Main_Start*1/3)*'Project Assumptions'!$L$15*((1+Main_Escal)^(K5-BaseYr))+Fuel_Start*'Project Assumptions'!$L$16)/1000*K8/12</f>
        <v>759.65668240652542</v>
      </c>
      <c r="L14" s="364">
        <f>IF(L4&gt;ProjectLife+1,0,(Main_Start*'Project Assumptions'!$L$15*((1+Main_Escal)^(L5-BaseYr))+Fuel_Start*'Project Assumptions'!$L$16)/1000)*L7/12+((Main_Start*1/3)*'Project Assumptions'!$L$15*((1+Main_Escal)^(L5-BaseYr))+Fuel_Start*'Project Assumptions'!$L$16)/1000*L8/12</f>
        <v>782.44638287872147</v>
      </c>
      <c r="M14" s="364">
        <f>IF(M4&gt;ProjectLife+1,0,(Main_Start*'Project Assumptions'!$L$15*((1+Main_Escal)^(M5-BaseYr))+Fuel_Start*'Project Assumptions'!$L$16)/1000)*M7/12+((Main_Start*1/3)*'Project Assumptions'!$L$15*((1+Main_Escal)^(M5-BaseYr))+Fuel_Start*'Project Assumptions'!$L$16)/1000*M8/12</f>
        <v>805.91977436508296</v>
      </c>
      <c r="N14" s="364">
        <f>IF(N4&gt;ProjectLife+1,0,(Main_Start*'Project Assumptions'!$L$15*((1+Main_Escal)^(N5-BaseYr))+Fuel_Start*'Project Assumptions'!$L$16)/1000)*N7/12+((Main_Start*1/3)*'Project Assumptions'!$L$15*((1+Main_Escal)^(N5-BaseYr))+Fuel_Start*'Project Assumptions'!$L$16)/1000*N8/12</f>
        <v>830.0973675960355</v>
      </c>
      <c r="O14" s="364">
        <f>IF(O4&gt;ProjectLife+1,0,(Main_Start*'Project Assumptions'!$L$15*((1+Main_Escal)^(O5-BaseYr))+Fuel_Start*'Project Assumptions'!$L$16)/1000)*O7/12+((Main_Start*1/3)*'Project Assumptions'!$L$15*((1+Main_Escal)^(O5-BaseYr))+Fuel_Start*'Project Assumptions'!$L$16)/1000*O8/12</f>
        <v>855.00028862391662</v>
      </c>
      <c r="P14" s="364">
        <f>IF(P4&gt;ProjectLife+1,0,(Main_Start*'Project Assumptions'!$L$15*((1+Main_Escal)^(P5-BaseYr))+Fuel_Start*'Project Assumptions'!$L$16)/1000)*P7/12+((Main_Start*1/3)*'Project Assumptions'!$L$15*((1+Main_Escal)^(P5-BaseYr))+Fuel_Start*'Project Assumptions'!$L$16)/1000*P8/12</f>
        <v>880.6502972826338</v>
      </c>
      <c r="Q14" s="364">
        <f>IF(Q4&gt;ProjectLife+1,0,(Main_Start*'Project Assumptions'!$L$15*((1+Main_Escal)^(Q5-BaseYr))+Fuel_Start*'Project Assumptions'!$L$16)/1000)*Q7/12+((Main_Start*1/3)*'Project Assumptions'!$L$15*((1+Main_Escal)^(Q5-BaseYr))+Fuel_Start*'Project Assumptions'!$L$16)/1000*Q8/12</f>
        <v>907.0698062011129</v>
      </c>
      <c r="R14" s="364">
        <f>IF(R4&gt;ProjectLife+1,0,(Main_Start*'Project Assumptions'!$L$15*((1+Main_Escal)^(R5-BaseYr))+Fuel_Start*'Project Assumptions'!$L$16)/1000)*R7/12+((Main_Start*1/3)*'Project Assumptions'!$L$15*((1+Main_Escal)^(R5-BaseYr))+Fuel_Start*'Project Assumptions'!$L$16)/1000*R8/12</f>
        <v>934.28190038714638</v>
      </c>
      <c r="S14" s="364">
        <f>IF(S4&gt;ProjectLife+1,0,(Main_Start*'Project Assumptions'!$L$15*((1+Main_Escal)^(S5-BaseYr))+Fuel_Start*'Project Assumptions'!$L$16)/1000)*S7/12+((Main_Start*1/3)*'Project Assumptions'!$L$15*((1+Main_Escal)^(S5-BaseYr))+Fuel_Start*'Project Assumptions'!$L$16)/1000*S8/12</f>
        <v>962.31035739876063</v>
      </c>
      <c r="T14" s="364">
        <f>IF(T4&gt;ProjectLife+1,0,(Main_Start*'Project Assumptions'!$L$15*((1+Main_Escal)^(T5-BaseYr))+Fuel_Start*'Project Assumptions'!$L$16)/1000)*T7/12+((Main_Start*1/3)*'Project Assumptions'!$L$15*((1+Main_Escal)^(T5-BaseYr))+Fuel_Start*'Project Assumptions'!$L$16)/1000*T8/12</f>
        <v>991.17966812072348</v>
      </c>
      <c r="U14" s="364">
        <f>IF(U4&gt;ProjectLife+1,0,(Main_Start*'Project Assumptions'!$L$15*((1+Main_Escal)^(U5-BaseYr))+Fuel_Start*'Project Assumptions'!$L$16)/1000)*U7/12+((Main_Start*1/3)*'Project Assumptions'!$L$15*((1+Main_Escal)^(U5-BaseYr))+Fuel_Start*'Project Assumptions'!$L$16)/1000*U8/12</f>
        <v>1020.9150581643452</v>
      </c>
      <c r="V14" s="364">
        <f>IF(V4&gt;ProjectLife+1,0,(Main_Start*'Project Assumptions'!$L$15*((1+Main_Escal)^(V5-BaseYr))+Fuel_Start*'Project Assumptions'!$L$16)/1000)*V7/12+((Main_Start*1/3)*'Project Assumptions'!$L$15*((1+Main_Escal)^(V5-BaseYr))+Fuel_Start*'Project Assumptions'!$L$16)/1000*V8/12</f>
        <v>1051.5425099092754</v>
      </c>
      <c r="W14" s="364">
        <f>IF(W4&gt;ProjectLife+1,0,(Main_Start*'Project Assumptions'!$L$15*((1+Main_Escal)^(W5-BaseYr))+Fuel_Start*'Project Assumptions'!$L$16)/1000)*W7/12+((Main_Start*1/3)*'Project Assumptions'!$L$15*((1+Main_Escal)^(W5-BaseYr))+Fuel_Start*'Project Assumptions'!$L$16)/1000*W8/12</f>
        <v>1083.0887852065537</v>
      </c>
      <c r="X14" s="364">
        <f>IF(X4&gt;ProjectLife+1,0,(Main_Start*'Project Assumptions'!$L$15*((1+Main_Escal)^(X5-BaseYr))+Fuel_Start*'Project Assumptions'!$L$16)/1000)*X7/12+((Main_Start*1/3)*'Project Assumptions'!$L$15*((1+Main_Escal)^(X5-BaseYr))+Fuel_Start*'Project Assumptions'!$L$16)/1000</f>
        <v>1115.5814487627501</v>
      </c>
      <c r="Y14" s="364">
        <f>IF(Y4&gt;ProjectLife+1,0,(Main_Start*'Project Assumptions'!$L$15*((1+Main_Escal)^(Y5-BaseYr))+Fuel_Start*'Project Assumptions'!$L$16)/1000)*Y7/12+((Main_Start*1/3)*'Project Assumptions'!$L$15*((1+Main_Escal)^(Y5-BaseYr))+Fuel_Start*'Project Assumptions'!$L$16)/1000*Y8/12</f>
        <v>0</v>
      </c>
      <c r="Z14" s="364">
        <f>IF(Z4&gt;ProjectLife+1,0,(Main_Start*'Project Assumptions'!$L$15*((1+Main_Escal)^(Z5-BaseYr))+Fuel_Start*'Project Assumptions'!$L$16)/1000)*Z7/12+((Main_Start*1/3)*'Project Assumptions'!$L$15*((1+Main_Escal)^(Z5-BaseYr))+Fuel_Start*'Project Assumptions'!$L$16)/1000*Z8/12</f>
        <v>0</v>
      </c>
      <c r="AA14" s="364">
        <f>IF(AA4&gt;ProjectLife+1,0,(Main_Start*'Project Assumptions'!$L$15*((1+Main_Escal)^(AA5-BaseYr))+Fuel_Start*'Project Assumptions'!$L$16)/1000)*AA7/12+((Main_Start*1/3)*'Project Assumptions'!$L$15*((1+Main_Escal)^(AA5-BaseYr))+Fuel_Start*'Project Assumptions'!$L$16)/1000*AA8/12</f>
        <v>0</v>
      </c>
      <c r="AB14" s="365">
        <f>IF(AB4&gt;ProjectLife+1,0,(Main_Start*'Project Assumptions'!$L$15*((1+Main_Escal)^(AB5-BaseYr))+Fuel_Start*'Project Assumptions'!$L$16)/1000)*AB7/12+((Main_Start*1/3)*'Project Assumptions'!$L$15*((1+Main_Escal)^(AB5-BaseYr))+Fuel_Start*'Project Assumptions'!$L$16)/1000*AB8/12</f>
        <v>0</v>
      </c>
    </row>
    <row r="15" spans="1:53" ht="12.6" customHeight="1">
      <c r="B15" s="359" t="s">
        <v>637</v>
      </c>
      <c r="C15" s="346"/>
      <c r="D15" s="360">
        <f>Operations!C20*AnnualHours*(Energy_Margin)/1000*D8/12</f>
        <v>0</v>
      </c>
      <c r="E15" s="360">
        <f>Operations!D20*AnnualHours*(Energy_Margin)/1000*E8/12</f>
        <v>0</v>
      </c>
      <c r="F15" s="360">
        <f>Operations!E20*AnnualHours*(Energy_Margin)/1000*F8/12</f>
        <v>0</v>
      </c>
      <c r="G15" s="360">
        <f>Operations!F20*AnnualHours*(Energy_Margin)/1000*G8/12</f>
        <v>5.3294196666666673</v>
      </c>
      <c r="H15" s="360">
        <f>Operations!G20*AnnualHours*(Energy_Margin)/1000*H8/12</f>
        <v>15.661968</v>
      </c>
      <c r="I15" s="360">
        <f>Operations!H20*AnnualHours*(Energy_Margin)/1000*I8/12</f>
        <v>15.661968</v>
      </c>
      <c r="J15" s="360">
        <f>Operations!I20*AnnualHours*(Energy_Margin)/1000*J8/12</f>
        <v>15.661968</v>
      </c>
      <c r="K15" s="360">
        <f>Operations!J20*AnnualHours*(Energy_Margin)/1000*K8/12</f>
        <v>15.661968</v>
      </c>
      <c r="L15" s="360">
        <f>Operations!K20*AnnualHours*(Energy_Margin)/1000*L8/12</f>
        <v>15.661968</v>
      </c>
      <c r="M15" s="360">
        <f>Operations!L20*AnnualHours*(Energy_Margin)/1000*M8/12</f>
        <v>15.661968</v>
      </c>
      <c r="N15" s="360">
        <f>Operations!M20*AnnualHours*(Energy_Margin)/1000*N8/12</f>
        <v>15.661968</v>
      </c>
      <c r="O15" s="360">
        <f>Operations!N20*AnnualHours*(Energy_Margin)/1000*O8/12</f>
        <v>15.661968</v>
      </c>
      <c r="P15" s="360">
        <f>Operations!O20*AnnualHours*(Energy_Margin)/1000*P8/12</f>
        <v>15.661968</v>
      </c>
      <c r="Q15" s="360">
        <f>Operations!P20*AnnualHours*(Energy_Margin)/1000*Q8/12</f>
        <v>15.661968</v>
      </c>
      <c r="R15" s="360">
        <f>Operations!Q20*AnnualHours*(Energy_Margin)/1000*R8/12</f>
        <v>15.661968</v>
      </c>
      <c r="S15" s="360">
        <f>Operations!R20*AnnualHours*(Energy_Margin)/1000*S8/12</f>
        <v>15.661968</v>
      </c>
      <c r="T15" s="360">
        <f>Operations!S20*AnnualHours*(Energy_Margin)/1000*T8/12</f>
        <v>15.661968</v>
      </c>
      <c r="U15" s="360">
        <f>Operations!T20*AnnualHours*(Energy_Margin)/1000*U8/12</f>
        <v>15.661968</v>
      </c>
      <c r="V15" s="360">
        <f>Operations!U20*AnnualHours*(Energy_Margin)/1000*V8/12</f>
        <v>15.661968</v>
      </c>
      <c r="W15" s="360">
        <f>Operations!V20*AnnualHours*(Energy_Margin)/1000*W8/12</f>
        <v>15.661968</v>
      </c>
      <c r="X15" s="360">
        <f>Operations!W20*AnnualHours*(Energy_Margin)/1000*X8/12</f>
        <v>2.7190916666666669</v>
      </c>
      <c r="Y15" s="360">
        <f>Operations!X20*AnnualHours*(Energy_Margin)/1000*Y8/12</f>
        <v>0</v>
      </c>
      <c r="Z15" s="360">
        <f>Operations!Y20*AnnualHours*(Energy_Margin)/1000*Z8/12</f>
        <v>0</v>
      </c>
      <c r="AA15" s="360">
        <f>Operations!Z20*AnnualHours*(Energy_Margin)/1000*AA8/12</f>
        <v>0</v>
      </c>
      <c r="AB15" s="361">
        <f>Operations!AA20*AnnualHours*(Energy_Margin)/1000*AB8/12</f>
        <v>0</v>
      </c>
    </row>
    <row r="16" spans="1:53" ht="12.6" customHeight="1">
      <c r="B16" s="359" t="s">
        <v>115</v>
      </c>
      <c r="C16" s="346"/>
      <c r="D16" s="366">
        <f>'PPA Assumptions &amp;Summary'!C15</f>
        <v>0</v>
      </c>
      <c r="E16" s="366">
        <f>'PPA Assumptions &amp;Summary'!D15</f>
        <v>0</v>
      </c>
      <c r="F16" s="366">
        <f>'PPA Assumptions &amp;Summary'!E15</f>
        <v>0</v>
      </c>
      <c r="G16" s="366">
        <f>'PPA Assumptions &amp;Summary'!F15</f>
        <v>0</v>
      </c>
      <c r="H16" s="366">
        <f>'PPA Assumptions &amp;Summary'!G15</f>
        <v>0</v>
      </c>
      <c r="I16" s="366">
        <f>'PPA Assumptions &amp;Summary'!H15</f>
        <v>0</v>
      </c>
      <c r="J16" s="366">
        <f>'PPA Assumptions &amp;Summary'!I15</f>
        <v>0</v>
      </c>
      <c r="K16" s="366">
        <f>'PPA Assumptions &amp;Summary'!J15</f>
        <v>0</v>
      </c>
      <c r="L16" s="366">
        <f>'PPA Assumptions &amp;Summary'!K15</f>
        <v>0</v>
      </c>
      <c r="M16" s="366">
        <f>'PPA Assumptions &amp;Summary'!L15</f>
        <v>0</v>
      </c>
      <c r="N16" s="366">
        <f>'PPA Assumptions &amp;Summary'!M15</f>
        <v>0</v>
      </c>
      <c r="O16" s="366">
        <f>'PPA Assumptions &amp;Summary'!N15</f>
        <v>0</v>
      </c>
      <c r="P16" s="366">
        <f>'PPA Assumptions &amp;Summary'!O15</f>
        <v>0</v>
      </c>
      <c r="Q16" s="366">
        <f>'PPA Assumptions &amp;Summary'!P15</f>
        <v>0</v>
      </c>
      <c r="R16" s="366">
        <f>'PPA Assumptions &amp;Summary'!Q15</f>
        <v>0</v>
      </c>
      <c r="S16" s="366">
        <f>'PPA Assumptions &amp;Summary'!R15</f>
        <v>0</v>
      </c>
      <c r="T16" s="366">
        <f>'PPA Assumptions &amp;Summary'!S15</f>
        <v>0</v>
      </c>
      <c r="U16" s="366">
        <f>'PPA Assumptions &amp;Summary'!T15</f>
        <v>0</v>
      </c>
      <c r="V16" s="366">
        <f>'PPA Assumptions &amp;Summary'!U15</f>
        <v>0</v>
      </c>
      <c r="W16" s="366">
        <f>'PPA Assumptions &amp;Summary'!V15</f>
        <v>0</v>
      </c>
      <c r="X16" s="366">
        <f>'PPA Assumptions &amp;Summary'!W15</f>
        <v>0</v>
      </c>
      <c r="Y16" s="366">
        <f>'PPA Assumptions &amp;Summary'!X15</f>
        <v>0</v>
      </c>
      <c r="Z16" s="366">
        <f>'PPA Assumptions &amp;Summary'!Y15</f>
        <v>0</v>
      </c>
      <c r="AA16" s="366">
        <f>'PPA Assumptions &amp;Summary'!Z15</f>
        <v>0</v>
      </c>
      <c r="AB16" s="367">
        <f>'PPA Assumptions &amp;Summary'!AA15</f>
        <v>0</v>
      </c>
    </row>
    <row r="17" spans="1:28" ht="12.6" customHeight="1">
      <c r="B17" s="359" t="s">
        <v>143</v>
      </c>
      <c r="C17" s="346"/>
      <c r="D17" s="368">
        <f>'PPA Assumptions &amp;Summary'!C16</f>
        <v>0</v>
      </c>
      <c r="E17" s="368">
        <f>'PPA Assumptions &amp;Summary'!D16</f>
        <v>0</v>
      </c>
      <c r="F17" s="368">
        <f>'PPA Assumptions &amp;Summary'!E16</f>
        <v>0</v>
      </c>
      <c r="G17" s="368">
        <f>'PPA Assumptions &amp;Summary'!F16</f>
        <v>0</v>
      </c>
      <c r="H17" s="368">
        <f>'PPA Assumptions &amp;Summary'!G16</f>
        <v>0</v>
      </c>
      <c r="I17" s="368">
        <f>'PPA Assumptions &amp;Summary'!H16</f>
        <v>0</v>
      </c>
      <c r="J17" s="368">
        <f>'PPA Assumptions &amp;Summary'!I16</f>
        <v>0</v>
      </c>
      <c r="K17" s="368">
        <f>'PPA Assumptions &amp;Summary'!J16</f>
        <v>0</v>
      </c>
      <c r="L17" s="368">
        <f>'PPA Assumptions &amp;Summary'!K16</f>
        <v>0</v>
      </c>
      <c r="M17" s="368">
        <f>'PPA Assumptions &amp;Summary'!L16</f>
        <v>0</v>
      </c>
      <c r="N17" s="368">
        <f>'PPA Assumptions &amp;Summary'!M16</f>
        <v>0</v>
      </c>
      <c r="O17" s="368">
        <f>'PPA Assumptions &amp;Summary'!N16</f>
        <v>0</v>
      </c>
      <c r="P17" s="368">
        <f>'PPA Assumptions &amp;Summary'!O16</f>
        <v>0</v>
      </c>
      <c r="Q17" s="368">
        <f>'PPA Assumptions &amp;Summary'!P16</f>
        <v>0</v>
      </c>
      <c r="R17" s="368">
        <f>'PPA Assumptions &amp;Summary'!Q16</f>
        <v>0</v>
      </c>
      <c r="S17" s="368">
        <f>'PPA Assumptions &amp;Summary'!R16</f>
        <v>0</v>
      </c>
      <c r="T17" s="368">
        <f>'PPA Assumptions &amp;Summary'!S16</f>
        <v>0</v>
      </c>
      <c r="U17" s="368">
        <f>'PPA Assumptions &amp;Summary'!T16</f>
        <v>0</v>
      </c>
      <c r="V17" s="368">
        <f>'PPA Assumptions &amp;Summary'!U16</f>
        <v>0</v>
      </c>
      <c r="W17" s="368">
        <f>'PPA Assumptions &amp;Summary'!V16</f>
        <v>0</v>
      </c>
      <c r="X17" s="368">
        <f>'PPA Assumptions &amp;Summary'!W16</f>
        <v>0</v>
      </c>
      <c r="Y17" s="368">
        <f>'PPA Assumptions &amp;Summary'!X16</f>
        <v>0</v>
      </c>
      <c r="Z17" s="368">
        <f>'PPA Assumptions &amp;Summary'!Y16</f>
        <v>0</v>
      </c>
      <c r="AA17" s="368">
        <f>'PPA Assumptions &amp;Summary'!Z16</f>
        <v>0</v>
      </c>
      <c r="AB17" s="369">
        <f>'PPA Assumptions &amp;Summary'!AA16</f>
        <v>0</v>
      </c>
    </row>
    <row r="18" spans="1:28" ht="12.6" customHeight="1">
      <c r="B18" s="370" t="s">
        <v>79</v>
      </c>
      <c r="C18" s="371"/>
      <c r="D18" s="372">
        <f t="shared" ref="D18:AB18" si="2">SUM(D11:D17)</f>
        <v>41364.1276</v>
      </c>
      <c r="E18" s="372">
        <f t="shared" si="2"/>
        <v>53599.168868000001</v>
      </c>
      <c r="F18" s="372">
        <f t="shared" si="2"/>
        <v>53676.461374039995</v>
      </c>
      <c r="G18" s="372">
        <f t="shared" si="2"/>
        <v>65143.101439719816</v>
      </c>
      <c r="H18" s="372">
        <f t="shared" si="2"/>
        <v>73806.689285054352</v>
      </c>
      <c r="I18" s="372">
        <f t="shared" si="2"/>
        <v>75317.217318825977</v>
      </c>
      <c r="J18" s="372">
        <f t="shared" si="2"/>
        <v>75252.785341236653</v>
      </c>
      <c r="K18" s="372">
        <f t="shared" si="2"/>
        <v>75972.254192721084</v>
      </c>
      <c r="L18" s="372">
        <f t="shared" si="2"/>
        <v>76688.273847830875</v>
      </c>
      <c r="M18" s="372">
        <f t="shared" si="2"/>
        <v>77399.989832817198</v>
      </c>
      <c r="N18" s="372">
        <f t="shared" si="2"/>
        <v>78106.499509783054</v>
      </c>
      <c r="O18" s="372">
        <f t="shared" si="2"/>
        <v>78806.849955860729</v>
      </c>
      <c r="P18" s="372">
        <f t="shared" si="2"/>
        <v>79500.035758487647</v>
      </c>
      <c r="Q18" s="372">
        <f t="shared" si="2"/>
        <v>80184.996723655335</v>
      </c>
      <c r="R18" s="372">
        <f t="shared" si="2"/>
        <v>80860.615493893827</v>
      </c>
      <c r="S18" s="372">
        <f t="shared" si="2"/>
        <v>81525.715072638748</v>
      </c>
      <c r="T18" s="372">
        <f t="shared" si="2"/>
        <v>82179.056251507223</v>
      </c>
      <c r="U18" s="372">
        <f t="shared" si="2"/>
        <v>82819.334936885876</v>
      </c>
      <c r="V18" s="372">
        <f t="shared" si="2"/>
        <v>83445.179372104292</v>
      </c>
      <c r="W18" s="372">
        <f t="shared" si="2"/>
        <v>82865.432394184551</v>
      </c>
      <c r="X18" s="372">
        <f t="shared" si="2"/>
        <v>35526.302372602433</v>
      </c>
      <c r="Y18" s="372">
        <f t="shared" si="2"/>
        <v>0</v>
      </c>
      <c r="Z18" s="372">
        <f t="shared" si="2"/>
        <v>0</v>
      </c>
      <c r="AA18" s="372">
        <f t="shared" si="2"/>
        <v>0</v>
      </c>
      <c r="AB18" s="373">
        <f t="shared" si="2"/>
        <v>0</v>
      </c>
    </row>
    <row r="19" spans="1:28" ht="12.6" customHeight="1" thickBot="1">
      <c r="B19" s="374"/>
      <c r="C19" s="375" t="s">
        <v>140</v>
      </c>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row>
    <row r="20" spans="1:28" ht="12.6" customHeight="1">
      <c r="B20" s="377"/>
      <c r="D20" s="336"/>
      <c r="E20" s="336"/>
      <c r="F20" s="336"/>
      <c r="G20" s="336"/>
      <c r="H20" s="336"/>
      <c r="I20" s="336"/>
      <c r="J20" s="336"/>
      <c r="K20" s="336"/>
      <c r="L20" s="336"/>
      <c r="M20" s="336"/>
      <c r="N20" s="336"/>
      <c r="O20" s="336"/>
      <c r="P20" s="336"/>
      <c r="Q20" s="336"/>
      <c r="R20" s="336"/>
      <c r="S20" s="336"/>
      <c r="T20" s="336"/>
      <c r="U20" s="336"/>
      <c r="V20" s="336"/>
      <c r="W20" s="336"/>
      <c r="X20" s="336"/>
      <c r="Y20" s="336"/>
      <c r="Z20" s="336"/>
      <c r="AA20" s="336"/>
      <c r="AB20" s="336"/>
    </row>
    <row r="21" spans="1:28" ht="12.6" customHeight="1">
      <c r="B21" s="355" t="s">
        <v>443</v>
      </c>
      <c r="C21" s="343"/>
      <c r="D21" s="378"/>
      <c r="E21" s="378"/>
      <c r="F21" s="378"/>
      <c r="G21" s="378"/>
      <c r="H21" s="378"/>
      <c r="I21" s="378"/>
      <c r="J21" s="378"/>
      <c r="K21" s="378"/>
      <c r="L21" s="378"/>
      <c r="M21" s="378"/>
      <c r="N21" s="378"/>
      <c r="O21" s="378"/>
      <c r="P21" s="378"/>
      <c r="Q21" s="378"/>
      <c r="R21" s="378"/>
      <c r="S21" s="378"/>
      <c r="T21" s="378"/>
      <c r="U21" s="378"/>
      <c r="V21" s="378"/>
      <c r="W21" s="378"/>
      <c r="X21" s="378"/>
      <c r="Y21" s="378"/>
      <c r="Z21" s="378"/>
      <c r="AA21" s="378"/>
      <c r="AB21" s="379"/>
    </row>
    <row r="22" spans="1:28" ht="12.6" customHeight="1">
      <c r="B22" s="390"/>
      <c r="C22" s="346"/>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1"/>
    </row>
    <row r="23" spans="1:28" ht="12.6" customHeight="1">
      <c r="B23" s="390" t="s">
        <v>533</v>
      </c>
      <c r="C23" s="346"/>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1"/>
    </row>
    <row r="24" spans="1:28" ht="12.6" customHeight="1">
      <c r="B24" s="359" t="s">
        <v>516</v>
      </c>
      <c r="C24" s="346"/>
      <c r="D24" s="364">
        <f>IF(D4&gt;'Project Assumptions'!$I$15+1,0,Operations!C35)</f>
        <v>21838.752</v>
      </c>
      <c r="E24" s="364">
        <f>IF(E4&gt;'Project Assumptions'!$I$15+1,0,Operations!D35)</f>
        <v>21838.752</v>
      </c>
      <c r="F24" s="364">
        <f>IF(F4&gt;'Project Assumptions'!$I$15+1,0,Operations!E35)</f>
        <v>21838.752</v>
      </c>
      <c r="G24" s="364">
        <f>IF(G4&gt;'Project Assumptions'!$I$15+1,0,Operations!F35)</f>
        <v>22886.8123963375</v>
      </c>
      <c r="H24" s="364">
        <f>IF(H4&gt;'Project Assumptions'!$I$15+1,0,Operations!G35)</f>
        <v>23440.092858000004</v>
      </c>
      <c r="I24" s="364">
        <f>IF(I4&gt;'Project Assumptions'!$I$15+1,0,Operations!H35)</f>
        <v>23440.092858000004</v>
      </c>
      <c r="J24" s="364">
        <f>IF(J4&gt;'Project Assumptions'!$I$15+1,0,Operations!I35)</f>
        <v>23440.092858000004</v>
      </c>
      <c r="K24" s="364">
        <f>IF(K4&gt;'Project Assumptions'!$I$15+1,0,Operations!J35)</f>
        <v>23440.092858000004</v>
      </c>
      <c r="L24" s="364">
        <f>IF(L4&gt;'Project Assumptions'!$I$15+1,0,Operations!K35)</f>
        <v>23440.092858000004</v>
      </c>
      <c r="M24" s="364">
        <f>IF(M4&gt;'Project Assumptions'!$I$15+1,0,Operations!L35)</f>
        <v>23440.092858000004</v>
      </c>
      <c r="N24" s="364">
        <f>IF(N4&gt;'Project Assumptions'!$I$15+1,0,Operations!M35)</f>
        <v>23440.092858000004</v>
      </c>
      <c r="O24" s="364">
        <f>IF(O4&gt;'Project Assumptions'!$I$15+1,0,Operations!N35)</f>
        <v>23440.092858000004</v>
      </c>
      <c r="P24" s="364">
        <f>IF(P4&gt;'Project Assumptions'!$I$15+1,0,Operations!O35)</f>
        <v>23440.092858000004</v>
      </c>
      <c r="Q24" s="364">
        <f>IF(Q4&gt;'Project Assumptions'!$I$15+1,0,Operations!P35)</f>
        <v>23440.092858000004</v>
      </c>
      <c r="R24" s="364">
        <f>IF(R4&gt;'Project Assumptions'!$I$15+1,0,Operations!Q35)</f>
        <v>23440.092858000004</v>
      </c>
      <c r="S24" s="364">
        <f>IF(S4&gt;'Project Assumptions'!$I$15+1,0,Operations!R35)</f>
        <v>23440.092858000004</v>
      </c>
      <c r="T24" s="364">
        <f>IF(T4&gt;'Project Assumptions'!$I$15+1,0,Operations!S35)</f>
        <v>23440.092858000004</v>
      </c>
      <c r="U24" s="364">
        <f>IF(U4&gt;'Project Assumptions'!$I$15+1,0,Operations!T35)</f>
        <v>23440.092858000004</v>
      </c>
      <c r="V24" s="364">
        <f>IF(V4&gt;'Project Assumptions'!$I$15+1,0,Operations!U35)</f>
        <v>23440.092858000004</v>
      </c>
      <c r="W24" s="364">
        <f>IF(W4&gt;'Project Assumptions'!$I$15+1,0,Operations!V35)</f>
        <v>23440.092858000004</v>
      </c>
      <c r="X24" s="364">
        <f>IF(X4&gt;'Project Assumptions'!$I$15+1,0,Operations!W35)</f>
        <v>9880.6502533374969</v>
      </c>
      <c r="Y24" s="364">
        <f>IF(Y4&gt;'Project Assumptions'!$I$15+1,0,Operations!X35)</f>
        <v>0</v>
      </c>
      <c r="Z24" s="364">
        <f>IF(Z4&gt;'Project Assumptions'!$I$15+1,0,Operations!Y35)</f>
        <v>0</v>
      </c>
      <c r="AA24" s="364">
        <f>IF(AA4&gt;'Project Assumptions'!$I$15+1,0,Operations!Z35)</f>
        <v>0</v>
      </c>
      <c r="AB24" s="365">
        <f>IF(AB4&gt;'Project Assumptions'!$I$15+1,0,Operations!AA35)</f>
        <v>0</v>
      </c>
    </row>
    <row r="25" spans="1:28" ht="12.6" customHeight="1">
      <c r="B25" s="359"/>
      <c r="C25" s="346"/>
      <c r="D25" s="364"/>
      <c r="E25" s="364"/>
      <c r="F25" s="364"/>
      <c r="G25" s="364"/>
      <c r="H25" s="364"/>
      <c r="I25" s="364"/>
      <c r="J25" s="364"/>
      <c r="K25" s="364"/>
      <c r="L25" s="364"/>
      <c r="M25" s="364"/>
      <c r="N25" s="364"/>
      <c r="O25" s="364"/>
      <c r="P25" s="364"/>
      <c r="Q25" s="364"/>
      <c r="R25" s="364"/>
      <c r="S25" s="364"/>
      <c r="T25" s="364"/>
      <c r="U25" s="364"/>
      <c r="V25" s="364"/>
      <c r="W25" s="364"/>
      <c r="X25" s="364"/>
      <c r="Y25" s="364"/>
      <c r="Z25" s="364"/>
      <c r="AA25" s="364"/>
      <c r="AB25" s="365"/>
    </row>
    <row r="26" spans="1:28" ht="12.6" customHeight="1">
      <c r="A26" s="1">
        <v>3</v>
      </c>
      <c r="B26" s="335" t="s">
        <v>439</v>
      </c>
      <c r="C26" s="346"/>
      <c r="D26" s="364">
        <f>IF(D4&gt;'Project Assumptions'!$I$15+1,0,WaterMWh*(Operations!C25+Operations!C27))*((1+OM_Escal)^(D5-'Project Assumptions'!$N$6))/1000</f>
        <v>61.79999999999999</v>
      </c>
      <c r="E26" s="364">
        <f>IF(E4&gt;'Project Assumptions'!$I$15+1,0,WaterMWh*(Operations!D25+Operations!D27))*((1+OM_Escal)^(E5-'Project Assumptions'!$N$6))/1000</f>
        <v>63.653999999999989</v>
      </c>
      <c r="F26" s="364">
        <f>IF(F4&gt;'Project Assumptions'!$I$15+1,0,WaterMWh*(Operations!E25+Operations!E27))*((1+OM_Escal)^(F5-'Project Assumptions'!$N$6))/1000</f>
        <v>65.56362</v>
      </c>
      <c r="G26" s="364">
        <f>IF(G4&gt;'Project Assumptions'!$I$15+1,0,WaterMWh*(Operations!F25+Operations!F27))*((1+OM_Escal)^(G5-'Project Assumptions'!$N$6))/1000</f>
        <v>70.771376454739894</v>
      </c>
      <c r="H26" s="364">
        <f>IF(H4&gt;'Project Assumptions'!$I$15+1,0,WaterMWh*(Operations!G25+Operations!G27))*((1+OM_Escal)^(H5-'Project Assumptions'!$N$6))/1000</f>
        <v>74.656716508701564</v>
      </c>
      <c r="I26" s="364">
        <f>IF(I4&gt;'Project Assumptions'!$I$15+1,0,WaterMWh*(Operations!H25+Operations!H27))*((1+OM_Escal)^(I5-'Project Assumptions'!$N$6))/1000</f>
        <v>76.896418003962609</v>
      </c>
      <c r="J26" s="364">
        <f>IF(J4&gt;'Project Assumptions'!$I$15+1,0,WaterMWh*(Operations!I25+Operations!I27))*((1+OM_Escal)^(J5-'Project Assumptions'!$N$6))/1000</f>
        <v>79.203310544081504</v>
      </c>
      <c r="K26" s="364">
        <f>IF(K4&gt;'Project Assumptions'!$I$15+1,0,WaterMWh*(Operations!J25+Operations!J27))*((1+OM_Escal)^(K5-'Project Assumptions'!$N$6))/1000</f>
        <v>81.579409860403928</v>
      </c>
      <c r="L26" s="364">
        <f>IF(L4&gt;'Project Assumptions'!$I$15+1,0,WaterMWh*(Operations!K25+Operations!K27))*((1+OM_Escal)^(L5-'Project Assumptions'!$N$6))/1000</f>
        <v>84.026792156216047</v>
      </c>
      <c r="M26" s="364">
        <f>IF(M4&gt;'Project Assumptions'!$I$15+1,0,WaterMWh*(Operations!L25+Operations!L27))*((1+OM_Escal)^(M5-'Project Assumptions'!$N$6))/1000</f>
        <v>86.547595920902538</v>
      </c>
      <c r="N26" s="364">
        <f>IF(N4&gt;'Project Assumptions'!$I$15+1,0,WaterMWh*(Operations!M25+Operations!M27))*((1+OM_Escal)^(N5-'Project Assumptions'!$N$6))/1000</f>
        <v>89.144023798529616</v>
      </c>
      <c r="O26" s="364">
        <f>IF(O4&gt;'Project Assumptions'!$I$15+1,0,WaterMWh*(Operations!N25+Operations!N27))*((1+OM_Escal)^(O5-'Project Assumptions'!$N$6))/1000</f>
        <v>91.818344512485481</v>
      </c>
      <c r="P26" s="364">
        <f>IF(P4&gt;'Project Assumptions'!$I$15+1,0,WaterMWh*(Operations!O25+Operations!O27))*((1+OM_Escal)^(P5-'Project Assumptions'!$N$6))/1000</f>
        <v>94.572894847860042</v>
      </c>
      <c r="Q26" s="364">
        <f>IF(Q4&gt;'Project Assumptions'!$I$15+1,0,WaterMWh*(Operations!P25+Operations!P27))*((1+OM_Escal)^(Q5-'Project Assumptions'!$N$6))/1000</f>
        <v>97.410081693295851</v>
      </c>
      <c r="R26" s="364">
        <f>IF(R4&gt;'Project Assumptions'!$I$15+1,0,WaterMWh*(Operations!Q25+Operations!Q27))*((1+OM_Escal)^(R5-'Project Assumptions'!$N$6))/1000</f>
        <v>100.33238414409473</v>
      </c>
      <c r="S26" s="364">
        <f>IF(S4&gt;'Project Assumptions'!$I$15+1,0,WaterMWh*(Operations!R25+Operations!R27))*((1+OM_Escal)^(S5-'Project Assumptions'!$N$6))/1000</f>
        <v>103.34235566841755</v>
      </c>
      <c r="T26" s="364">
        <f>IF(T4&gt;'Project Assumptions'!$I$15+1,0,WaterMWh*(Operations!S25+Operations!S27))*((1+OM_Escal)^(T5-'Project Assumptions'!$N$6))/1000</f>
        <v>106.44262633847009</v>
      </c>
      <c r="U26" s="364">
        <f>IF(U4&gt;'Project Assumptions'!$I$15+1,0,WaterMWh*(Operations!T25+Operations!T27))*((1+OM_Escal)^(U5-'Project Assumptions'!$N$6))/1000</f>
        <v>109.63590512862419</v>
      </c>
      <c r="V26" s="364">
        <f>IF(V4&gt;'Project Assumptions'!$I$15+1,0,WaterMWh*(Operations!U25+Operations!U27))*((1+OM_Escal)^(V5-'Project Assumptions'!$N$6))/1000</f>
        <v>112.92498228248292</v>
      </c>
      <c r="W26" s="364">
        <f>IF(W4&gt;'Project Assumptions'!$I$15+1,0,WaterMWh*(Operations!V25+Operations!V27))*((1+OM_Escal)^(W5-'Project Assumptions'!$N$6))/1000</f>
        <v>116.3127317509574</v>
      </c>
      <c r="X26" s="364">
        <f>IF(X4&gt;'Project Assumptions'!$I$15+1,0,WaterMWh*(Operations!W25+Operations!W27))*((1+OM_Escal)^(X5-'Project Assumptions'!$N$6))/1000</f>
        <v>50.499918762511143</v>
      </c>
      <c r="Y26" s="364">
        <f>IF(Y4&gt;'Project Assumptions'!$I$15+1,0,WaterMWh*(Operations!X25+Operations!X27))*((1+OM_Escal)^(Y5-'Project Assumptions'!$N$6))/1000</f>
        <v>0</v>
      </c>
      <c r="Z26" s="364">
        <f>IF(Z4&gt;'Project Assumptions'!$I$15+1,0,WaterMWh*(Operations!Y25+Operations!Y27))*((1+OM_Escal)^(Z5-'Project Assumptions'!$N$6))/1000</f>
        <v>0</v>
      </c>
      <c r="AA26" s="364">
        <f>IF(AA4&gt;'Project Assumptions'!$I$15+1,0,WaterMWh*(Operations!Z25+Operations!Z27))*((1+OM_Escal)^(AA5-'Project Assumptions'!$N$6))/1000</f>
        <v>0</v>
      </c>
      <c r="AB26" s="365">
        <f>IF(AB4&gt;'Project Assumptions'!$I$15+1,0,WaterMWh*(Operations!AA25+Operations!AA27))*((1+OM_Escal)^(AB5-'Project Assumptions'!$N$6))/1000</f>
        <v>0</v>
      </c>
    </row>
    <row r="27" spans="1:28" ht="12.6" customHeight="1">
      <c r="A27" s="1">
        <v>3</v>
      </c>
      <c r="B27" s="335" t="s">
        <v>440</v>
      </c>
      <c r="C27" s="346"/>
      <c r="D27" s="364">
        <f>IF(D4&gt;'Project Assumptions'!$I$15+1,0,FercMWh*(Operations!C25+Operations!C27))*((1+OM_Escal)^(D5-'Project Assumptions'!$N$6))/1000</f>
        <v>37.574400000000004</v>
      </c>
      <c r="E27" s="364">
        <f>IF(E4&gt;'Project Assumptions'!$I$15+1,0,FercMWh*(Operations!D25+Operations!D27))*((1+OM_Escal)^(E5-'Project Assumptions'!$N$6))/1000</f>
        <v>38.701631999999996</v>
      </c>
      <c r="F27" s="364">
        <f>IF(F4&gt;'Project Assumptions'!$I$15+1,0,FercMWh*(Operations!E25+Operations!E27))*((1+OM_Escal)^(F5-'Project Assumptions'!$N$6))/1000</f>
        <v>39.862680959999999</v>
      </c>
      <c r="G27" s="364">
        <f>IF(G4&gt;'Project Assumptions'!$I$15+1,0,FercMWh*(Operations!F25+Operations!F27))*((1+OM_Escal)^(G5-'Project Assumptions'!$N$6))/1000</f>
        <v>43.028996884481863</v>
      </c>
      <c r="H27" s="364">
        <f>IF(H4&gt;'Project Assumptions'!$I$15+1,0,FercMWh*(Operations!G25+Operations!G27))*((1+OM_Escal)^(H5-'Project Assumptions'!$N$6))/1000</f>
        <v>45.391283637290556</v>
      </c>
      <c r="I27" s="364">
        <f>IF(I4&gt;'Project Assumptions'!$I$15+1,0,FercMWh*(Operations!H25+Operations!H27))*((1+OM_Escal)^(I5-'Project Assumptions'!$N$6))/1000</f>
        <v>46.753022146409279</v>
      </c>
      <c r="J27" s="364">
        <f>IF(J4&gt;'Project Assumptions'!$I$15+1,0,FercMWh*(Operations!I25+Operations!I27))*((1+OM_Escal)^(J5-'Project Assumptions'!$N$6))/1000</f>
        <v>48.155612810801557</v>
      </c>
      <c r="K27" s="364">
        <f>IF(K4&gt;'Project Assumptions'!$I$15+1,0,FercMWh*(Operations!J25+Operations!J27))*((1+OM_Escal)^(K5-'Project Assumptions'!$N$6))/1000</f>
        <v>49.600281195125604</v>
      </c>
      <c r="L27" s="364">
        <f>IF(L4&gt;'Project Assumptions'!$I$15+1,0,FercMWh*(Operations!K25+Operations!K27))*((1+OM_Escal)^(L5-'Project Assumptions'!$N$6))/1000</f>
        <v>51.088289630979368</v>
      </c>
      <c r="M27" s="364">
        <f>IF(M4&gt;'Project Assumptions'!$I$15+1,0,FercMWh*(Operations!L25+Operations!L27))*((1+OM_Escal)^(M5-'Project Assumptions'!$N$6))/1000</f>
        <v>52.620938319908745</v>
      </c>
      <c r="N27" s="364">
        <f>IF(N4&gt;'Project Assumptions'!$I$15+1,0,FercMWh*(Operations!M25+Operations!M27))*((1+OM_Escal)^(N5-'Project Assumptions'!$N$6))/1000</f>
        <v>54.19956646950601</v>
      </c>
      <c r="O27" s="364">
        <f>IF(O4&gt;'Project Assumptions'!$I$15+1,0,FercMWh*(Operations!N25+Operations!N27))*((1+OM_Escal)^(O5-'Project Assumptions'!$N$6))/1000</f>
        <v>55.825553463591184</v>
      </c>
      <c r="P27" s="364">
        <f>IF(P4&gt;'Project Assumptions'!$I$15+1,0,FercMWh*(Operations!O25+Operations!O27))*((1+OM_Escal)^(P5-'Project Assumptions'!$N$6))/1000</f>
        <v>57.500320067498919</v>
      </c>
      <c r="Q27" s="364">
        <f>IF(Q4&gt;'Project Assumptions'!$I$15+1,0,FercMWh*(Operations!P25+Operations!P27))*((1+OM_Escal)^(Q5-'Project Assumptions'!$N$6))/1000</f>
        <v>59.225329669523887</v>
      </c>
      <c r="R27" s="364">
        <f>IF(R4&gt;'Project Assumptions'!$I$15+1,0,FercMWh*(Operations!Q25+Operations!Q27))*((1+OM_Escal)^(R5-'Project Assumptions'!$N$6))/1000</f>
        <v>61.002089559609608</v>
      </c>
      <c r="S27" s="364">
        <f>IF(S4&gt;'Project Assumptions'!$I$15+1,0,FercMWh*(Operations!R25+Operations!R27))*((1+OM_Escal)^(S5-'Project Assumptions'!$N$6))/1000</f>
        <v>62.832152246397889</v>
      </c>
      <c r="T27" s="364">
        <f>IF(T4&gt;'Project Assumptions'!$I$15+1,0,FercMWh*(Operations!S25+Operations!S27))*((1+OM_Escal)^(T5-'Project Assumptions'!$N$6))/1000</f>
        <v>64.717116813789829</v>
      </c>
      <c r="U27" s="364">
        <f>IF(U4&gt;'Project Assumptions'!$I$15+1,0,FercMWh*(Operations!T25+Operations!T27))*((1+OM_Escal)^(U5-'Project Assumptions'!$N$6))/1000</f>
        <v>66.658630318203521</v>
      </c>
      <c r="V27" s="364">
        <f>IF(V4&gt;'Project Assumptions'!$I$15+1,0,FercMWh*(Operations!U25+Operations!U27))*((1+OM_Escal)^(V5-'Project Assumptions'!$N$6))/1000</f>
        <v>68.658389227749623</v>
      </c>
      <c r="W27" s="364">
        <f>IF(W4&gt;'Project Assumptions'!$I$15+1,0,FercMWh*(Operations!V25+Operations!V27))*((1+OM_Escal)^(W5-'Project Assumptions'!$N$6))/1000</f>
        <v>70.7181409045821</v>
      </c>
      <c r="X27" s="364">
        <f>IF(X4&gt;'Project Assumptions'!$I$15+1,0,FercMWh*(Operations!W25+Operations!W27))*((1+OM_Escal)^(X5-'Project Assumptions'!$N$6))/1000</f>
        <v>30.703950607606782</v>
      </c>
      <c r="Y27" s="364">
        <f>IF(Y4&gt;'Project Assumptions'!$I$15+1,0,FercMWh*(Operations!X25+Operations!X27))*((1+OM_Escal)^(Y5-'Project Assumptions'!$N$6))/1000</f>
        <v>0</v>
      </c>
      <c r="Z27" s="364">
        <f>IF(Z4&gt;'Project Assumptions'!$I$15+1,0,FercMWh*(Operations!Y25+Operations!Y27))*((1+OM_Escal)^(Z5-'Project Assumptions'!$N$6))/1000</f>
        <v>0</v>
      </c>
      <c r="AA27" s="364">
        <f>IF(AA4&gt;'Project Assumptions'!$I$15+1,0,FercMWh*(Operations!Z25+Operations!Z27))*((1+OM_Escal)^(AA5-'Project Assumptions'!$N$6))/1000</f>
        <v>0</v>
      </c>
      <c r="AB27" s="365">
        <f>IF(AB4&gt;'Project Assumptions'!$I$15+1,0,FercMWh*(Operations!AA25+Operations!AA27))*((1+OM_Escal)^(AB5-'Project Assumptions'!$N$6))/1000</f>
        <v>0</v>
      </c>
    </row>
    <row r="28" spans="1:28" ht="12.6" customHeight="1">
      <c r="A28" s="1">
        <v>3</v>
      </c>
      <c r="B28" s="335" t="s">
        <v>441</v>
      </c>
      <c r="C28" s="346"/>
      <c r="D28" s="380">
        <f>IF(D4&gt;'Project Assumptions'!$I$15+1,0,MainMWh*(Operations!C25+Operations!C27))*((1+OM_Escal)^(D5-'Project Assumptions'!$N$6))/1000</f>
        <v>548.99</v>
      </c>
      <c r="E28" s="380">
        <f>IF(E4&gt;'Project Assumptions'!$I$15+1,0,MainMWh*(Operations!D25+Operations!D27))*((1+OM_Escal)^(E5-'Project Assumptions'!$N$6))/1000</f>
        <v>565.4597</v>
      </c>
      <c r="F28" s="380">
        <f>IF(F4&gt;'Project Assumptions'!$I$15+1,0,MainMWh*(Operations!E25+Operations!E27))*((1+OM_Escal)^(F5-'Project Assumptions'!$N$6))/1000</f>
        <v>582.42349100000001</v>
      </c>
      <c r="G28" s="380">
        <f>IF(G4&gt;'Project Assumptions'!$I$15+1,0,MainMWh*(Operations!F25+Operations!F27))*((1+OM_Escal)^(G5-'Project Assumptions'!$N$6))/1000</f>
        <v>628.68572750627277</v>
      </c>
      <c r="H28" s="380">
        <f>IF(H4&gt;'Project Assumptions'!$I$15+1,0,MainMWh*(Operations!G25+Operations!G27))*((1+OM_Escal)^(H5-'Project Assumptions'!$N$6))/1000</f>
        <v>663.20049831896551</v>
      </c>
      <c r="I28" s="380">
        <f>IF(I4&gt;'Project Assumptions'!$I$15+1,0,MainMWh*(Operations!H25+Operations!H27))*((1+OM_Escal)^(I5-'Project Assumptions'!$N$6))/1000</f>
        <v>683.09651326853452</v>
      </c>
      <c r="J28" s="380">
        <f>IF(J4&gt;'Project Assumptions'!$I$15+1,0,MainMWh*(Operations!I25+Operations!I27))*((1+OM_Escal)^(J5-'Project Assumptions'!$N$6))/1000</f>
        <v>703.58940866659054</v>
      </c>
      <c r="K28" s="380">
        <f>IF(K4&gt;'Project Assumptions'!$I$15+1,0,MainMWh*(Operations!J25+Operations!J27))*((1+OM_Escal)^(K5-'Project Assumptions'!$N$6))/1000</f>
        <v>724.69709092658832</v>
      </c>
      <c r="L28" s="380">
        <f>IF(L4&gt;'Project Assumptions'!$I$15+1,0,MainMWh*(Operations!K25+Operations!K27))*((1+OM_Escal)^(L5-'Project Assumptions'!$N$6))/1000</f>
        <v>746.43800365438597</v>
      </c>
      <c r="M28" s="380">
        <f>IF(M4&gt;'Project Assumptions'!$I$15+1,0,MainMWh*(Operations!L25+Operations!L27))*((1+OM_Escal)^(M5-'Project Assumptions'!$N$6))/1000</f>
        <v>768.8311437640175</v>
      </c>
      <c r="N28" s="380">
        <f>IF(N4&gt;'Project Assumptions'!$I$15+1,0,MainMWh*(Operations!M25+Operations!M27))*((1+OM_Escal)^(N5-'Project Assumptions'!$N$6))/1000</f>
        <v>791.89607807693801</v>
      </c>
      <c r="O28" s="380">
        <f>IF(O4&gt;'Project Assumptions'!$I$15+1,0,MainMWh*(Operations!N25+Operations!N27))*((1+OM_Escal)^(O5-'Project Assumptions'!$N$6))/1000</f>
        <v>815.65296041924614</v>
      </c>
      <c r="P28" s="380">
        <f>IF(P4&gt;'Project Assumptions'!$I$15+1,0,MainMWh*(Operations!O25+Operations!O27))*((1+OM_Escal)^(P5-'Project Assumptions'!$N$6))/1000</f>
        <v>840.12254923182343</v>
      </c>
      <c r="Q28" s="380">
        <f>IF(Q4&gt;'Project Assumptions'!$I$15+1,0,MainMWh*(Operations!P25+Operations!P27))*((1+OM_Escal)^(Q5-'Project Assumptions'!$N$6))/1000</f>
        <v>865.32622570877822</v>
      </c>
      <c r="R28" s="380">
        <f>IF(R4&gt;'Project Assumptions'!$I$15+1,0,MainMWh*(Operations!Q25+Operations!Q27))*((1+OM_Escal)^(R5-'Project Assumptions'!$N$6))/1000</f>
        <v>891.28601248004156</v>
      </c>
      <c r="S28" s="380">
        <f>IF(S4&gt;'Project Assumptions'!$I$15+1,0,MainMWh*(Operations!R25+Operations!R27))*((1+OM_Escal)^(S5-'Project Assumptions'!$N$6))/1000</f>
        <v>918.02459285444263</v>
      </c>
      <c r="T28" s="380">
        <f>IF(T4&gt;'Project Assumptions'!$I$15+1,0,MainMWh*(Operations!S25+Operations!S27))*((1+OM_Escal)^(T5-'Project Assumptions'!$N$6))/1000</f>
        <v>945.56533064007601</v>
      </c>
      <c r="U28" s="380">
        <f>IF(U4&gt;'Project Assumptions'!$I$15+1,0,MainMWh*(Operations!T25+Operations!T27))*((1+OM_Escal)^(U5-'Project Assumptions'!$N$6))/1000</f>
        <v>973.93229055927827</v>
      </c>
      <c r="V28" s="380">
        <f>IF(V4&gt;'Project Assumptions'!$I$15+1,0,MainMWh*(Operations!U25+Operations!U27))*((1+OM_Escal)^(V5-'Project Assumptions'!$N$6))/1000</f>
        <v>1003.1502592760565</v>
      </c>
      <c r="W28" s="380">
        <f>IF(W4&gt;'Project Assumptions'!$I$15+1,0,MainMWh*(Operations!V25+Operations!V27))*((1+OM_Escal)^(W5-'Project Assumptions'!$N$6))/1000</f>
        <v>1033.2447670543384</v>
      </c>
      <c r="X28" s="380">
        <f>IF(X4&gt;'Project Assumptions'!$I$15+1,0,MainMWh*(Operations!W25+Operations!W27))*((1+OM_Escal)^(X5-'Project Assumptions'!$N$6))/1000</f>
        <v>448.60761167364075</v>
      </c>
      <c r="Y28" s="380">
        <f>IF(Y4&gt;'Project Assumptions'!$I$15+1,0,MainMWh*(Operations!X25+Operations!X27))*((1+OM_Escal)^(Y5-'Project Assumptions'!$N$6))/1000</f>
        <v>0</v>
      </c>
      <c r="Z28" s="380">
        <f>IF(Z4&gt;'Project Assumptions'!$I$15+1,0,MainMWh*(Operations!Y25+Operations!Y27))*((1+OM_Escal)^(Z5-'Project Assumptions'!$N$6))/1000</f>
        <v>0</v>
      </c>
      <c r="AA28" s="380">
        <f>IF(AA4&gt;'Project Assumptions'!$I$15+1,0,MainMWh*(Operations!Z25+Operations!Z27))*((1+OM_Escal)^(AA5-'Project Assumptions'!$N$6))/1000</f>
        <v>0</v>
      </c>
      <c r="AB28" s="381">
        <f>IF(AB4&gt;'Project Assumptions'!$I$15+1,0,MainMWh*(Operations!AA25+Operations!AA27))*((1+OM_Escal)^(AB5-'Project Assumptions'!$N$6))/1000</f>
        <v>0</v>
      </c>
    </row>
    <row r="29" spans="1:28" ht="12.6" customHeight="1">
      <c r="B29" s="390" t="s">
        <v>547</v>
      </c>
      <c r="C29" s="431">
        <f>AVERAGE(D29:W29)</f>
        <v>926.7181319673025</v>
      </c>
      <c r="D29" s="924">
        <f t="shared" ref="D29:AB29" si="3">SUM(D26:D28)</f>
        <v>648.36440000000005</v>
      </c>
      <c r="E29" s="924">
        <f t="shared" si="3"/>
        <v>667.81533200000001</v>
      </c>
      <c r="F29" s="924">
        <f t="shared" si="3"/>
        <v>687.84979195999995</v>
      </c>
      <c r="G29" s="924">
        <f t="shared" si="3"/>
        <v>742.48610084549455</v>
      </c>
      <c r="H29" s="924">
        <f t="shared" si="3"/>
        <v>783.24849846495761</v>
      </c>
      <c r="I29" s="924">
        <f t="shared" si="3"/>
        <v>806.74595341890642</v>
      </c>
      <c r="J29" s="924">
        <f t="shared" si="3"/>
        <v>830.94833202147356</v>
      </c>
      <c r="K29" s="924">
        <f t="shared" si="3"/>
        <v>855.87678198211779</v>
      </c>
      <c r="L29" s="924">
        <f t="shared" si="3"/>
        <v>881.5530854415814</v>
      </c>
      <c r="M29" s="924">
        <f t="shared" si="3"/>
        <v>907.99967800482875</v>
      </c>
      <c r="N29" s="924">
        <f t="shared" si="3"/>
        <v>935.23966834497367</v>
      </c>
      <c r="O29" s="924">
        <f t="shared" si="3"/>
        <v>963.29685839532283</v>
      </c>
      <c r="P29" s="924">
        <f t="shared" si="3"/>
        <v>992.19576414718244</v>
      </c>
      <c r="Q29" s="924">
        <f t="shared" si="3"/>
        <v>1021.961637071598</v>
      </c>
      <c r="R29" s="924">
        <f t="shared" si="3"/>
        <v>1052.6204861837459</v>
      </c>
      <c r="S29" s="924">
        <f t="shared" si="3"/>
        <v>1084.1991007692582</v>
      </c>
      <c r="T29" s="924">
        <f t="shared" si="3"/>
        <v>1116.7250737923359</v>
      </c>
      <c r="U29" s="924">
        <f t="shared" si="3"/>
        <v>1150.226826006106</v>
      </c>
      <c r="V29" s="924">
        <f t="shared" si="3"/>
        <v>1184.733630786289</v>
      </c>
      <c r="W29" s="924">
        <f t="shared" si="3"/>
        <v>1220.2756397098779</v>
      </c>
      <c r="X29" s="924">
        <f t="shared" si="3"/>
        <v>529.8114810437587</v>
      </c>
      <c r="Y29" s="924">
        <f t="shared" si="3"/>
        <v>0</v>
      </c>
      <c r="Z29" s="924">
        <f t="shared" si="3"/>
        <v>0</v>
      </c>
      <c r="AA29" s="924">
        <f t="shared" si="3"/>
        <v>0</v>
      </c>
      <c r="AB29" s="925">
        <f t="shared" si="3"/>
        <v>0</v>
      </c>
    </row>
    <row r="30" spans="1:28" ht="12.6" customHeight="1">
      <c r="B30" s="382"/>
      <c r="C30" s="346"/>
      <c r="D30" s="363"/>
      <c r="E30" s="364"/>
      <c r="F30" s="364"/>
      <c r="G30" s="364"/>
      <c r="H30" s="364"/>
      <c r="I30" s="364"/>
      <c r="J30" s="364"/>
      <c r="K30" s="364"/>
      <c r="L30" s="364"/>
      <c r="M30" s="364"/>
      <c r="N30" s="364"/>
      <c r="O30" s="364"/>
      <c r="P30" s="364"/>
      <c r="Q30" s="364"/>
      <c r="R30" s="364"/>
      <c r="S30" s="364"/>
      <c r="T30" s="364"/>
      <c r="U30" s="364"/>
      <c r="V30" s="364"/>
      <c r="W30" s="364"/>
      <c r="X30" s="364"/>
      <c r="Y30" s="364"/>
      <c r="Z30" s="364"/>
      <c r="AA30" s="364"/>
      <c r="AB30" s="365"/>
    </row>
    <row r="31" spans="1:28" ht="12.6" customHeight="1">
      <c r="B31" s="383" t="s">
        <v>442</v>
      </c>
      <c r="C31" s="346"/>
      <c r="D31" s="431">
        <f t="shared" ref="D31:AB31" si="4">D24+D29</f>
        <v>22487.116399999999</v>
      </c>
      <c r="E31" s="431">
        <f t="shared" si="4"/>
        <v>22506.567331999999</v>
      </c>
      <c r="F31" s="431">
        <f t="shared" si="4"/>
        <v>22526.601791960002</v>
      </c>
      <c r="G31" s="431">
        <f t="shared" si="4"/>
        <v>23629.298497182994</v>
      </c>
      <c r="H31" s="431">
        <f t="shared" si="4"/>
        <v>24223.34135646496</v>
      </c>
      <c r="I31" s="431">
        <f t="shared" si="4"/>
        <v>24246.838811418911</v>
      </c>
      <c r="J31" s="431">
        <f t="shared" si="4"/>
        <v>24271.041190021479</v>
      </c>
      <c r="K31" s="431">
        <f t="shared" si="4"/>
        <v>24295.969639982122</v>
      </c>
      <c r="L31" s="431">
        <f t="shared" si="4"/>
        <v>24321.645943441585</v>
      </c>
      <c r="M31" s="431">
        <f t="shared" si="4"/>
        <v>24348.092536004831</v>
      </c>
      <c r="N31" s="431">
        <f t="shared" si="4"/>
        <v>24375.332526344977</v>
      </c>
      <c r="O31" s="431">
        <f t="shared" si="4"/>
        <v>24403.389716395326</v>
      </c>
      <c r="P31" s="431">
        <f t="shared" si="4"/>
        <v>24432.288622147185</v>
      </c>
      <c r="Q31" s="431">
        <f t="shared" si="4"/>
        <v>24462.054495071603</v>
      </c>
      <c r="R31" s="431">
        <f t="shared" si="4"/>
        <v>24492.71334418375</v>
      </c>
      <c r="S31" s="431">
        <f t="shared" si="4"/>
        <v>24524.291958769263</v>
      </c>
      <c r="T31" s="431">
        <f t="shared" si="4"/>
        <v>24556.817931792339</v>
      </c>
      <c r="U31" s="431">
        <f t="shared" si="4"/>
        <v>24590.31968400611</v>
      </c>
      <c r="V31" s="431">
        <f t="shared" si="4"/>
        <v>24624.826488786293</v>
      </c>
      <c r="W31" s="431">
        <f t="shared" si="4"/>
        <v>24660.368497709882</v>
      </c>
      <c r="X31" s="431">
        <f t="shared" si="4"/>
        <v>10410.461734381255</v>
      </c>
      <c r="Y31" s="431">
        <f t="shared" si="4"/>
        <v>0</v>
      </c>
      <c r="Z31" s="431">
        <f t="shared" si="4"/>
        <v>0</v>
      </c>
      <c r="AA31" s="431">
        <f t="shared" si="4"/>
        <v>0</v>
      </c>
      <c r="AB31" s="926">
        <f t="shared" si="4"/>
        <v>0</v>
      </c>
    </row>
    <row r="32" spans="1:28" ht="12.6" customHeight="1">
      <c r="B32" s="383"/>
      <c r="C32" s="346"/>
      <c r="D32" s="346"/>
      <c r="E32" s="346"/>
      <c r="F32" s="346"/>
      <c r="G32" s="346"/>
      <c r="H32" s="346"/>
      <c r="I32" s="346"/>
      <c r="J32" s="346"/>
      <c r="K32" s="346"/>
      <c r="L32" s="346"/>
      <c r="M32" s="346"/>
      <c r="N32" s="346"/>
      <c r="O32" s="346"/>
      <c r="P32" s="346"/>
      <c r="Q32" s="346"/>
      <c r="R32" s="346"/>
      <c r="S32" s="346"/>
      <c r="T32" s="346"/>
      <c r="U32" s="346"/>
      <c r="V32" s="346"/>
      <c r="W32" s="346"/>
      <c r="X32" s="346"/>
      <c r="Y32" s="346"/>
      <c r="Z32" s="346"/>
      <c r="AA32" s="346"/>
      <c r="AB32" s="384"/>
    </row>
    <row r="33" spans="1:28" ht="12.6" customHeight="1">
      <c r="B33" s="383" t="s">
        <v>534</v>
      </c>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6"/>
      <c r="AA33" s="346"/>
      <c r="AB33" s="384"/>
    </row>
    <row r="34" spans="1:28" ht="12.6" customHeight="1">
      <c r="A34" s="1">
        <v>5</v>
      </c>
      <c r="B34" s="359" t="s">
        <v>121</v>
      </c>
      <c r="C34" s="346">
        <f>AVERAGE(D34:W34)</f>
        <v>2489.5552438137533</v>
      </c>
      <c r="D34" s="364">
        <f>IF(D4&gt;ProjectLife+1,0,Main_Start*'Project Assumptions'!$L$15*((1+Main_Escal)^(D5-BaseYr))/1000)</f>
        <v>1853.0111999999999</v>
      </c>
      <c r="E34" s="364">
        <f>IF(E4&gt;ProjectLife+1,0,Main_Start*'Project Assumptions'!$L$15*((1+Main_Escal)^(E5-BaseYr))/1000)</f>
        <v>1908.6015359999999</v>
      </c>
      <c r="F34" s="364">
        <f>IF(F4&gt;ProjectLife+1,0,Main_Start*'Project Assumptions'!$L$15*((1+Main_Escal)^(F5-BaseYr))/1000)</f>
        <v>1965.8595820800001</v>
      </c>
      <c r="G34" s="364">
        <f>IF(G4&gt;ProjectLife+1,0,Main_Start*'Project Assumptions'!$L$15*((1+Main_Escal)^(G5-BaseYr))/1000)</f>
        <v>2024.8353695423998</v>
      </c>
      <c r="H34" s="364">
        <f>IF(H4&gt;ProjectLife+1,0,Main_Start*'Project Assumptions'!$L$15*((1+Main_Escal)^(H5-BaseYr))/1000)</f>
        <v>2085.5804306286718</v>
      </c>
      <c r="I34" s="364">
        <f>IF(I4&gt;ProjectLife+1,0,Main_Start*'Project Assumptions'!$L$15*((1+Main_Escal)^(I5-BaseYr))/1000)</f>
        <v>2148.1478435475319</v>
      </c>
      <c r="J34" s="364">
        <f>IF(J4&gt;ProjectLife+1,0,Main_Start*'Project Assumptions'!$L$15*((1+Main_Escal)^(J5-BaseYr))/1000)</f>
        <v>2212.5922788539579</v>
      </c>
      <c r="K34" s="364">
        <f>IF(K4&gt;ProjectLife+1,0,Main_Start*'Project Assumptions'!$L$15*((1+Main_Escal)^(K5-BaseYr))/1000)</f>
        <v>2278.9700472195768</v>
      </c>
      <c r="L34" s="364">
        <f>IF(L4&gt;ProjectLife+1,0,Main_Start*'Project Assumptions'!$L$15*((1+Main_Escal)^(L5-BaseYr))/1000)</f>
        <v>2347.3391486361643</v>
      </c>
      <c r="M34" s="364">
        <f>IF(M4&gt;ProjectLife+1,0,Main_Start*'Project Assumptions'!$L$15*((1+Main_Escal)^(M5-BaseYr))/1000)</f>
        <v>2417.7593230952489</v>
      </c>
      <c r="N34" s="364">
        <f>IF(N4&gt;ProjectLife+1,0,Main_Start*'Project Assumptions'!$L$15*((1+Main_Escal)^(N5-BaseYr))/1000)</f>
        <v>2490.2921027881066</v>
      </c>
      <c r="O34" s="364">
        <f>IF(O4&gt;ProjectLife+1,0,Main_Start*'Project Assumptions'!$L$15*((1+Main_Escal)^(O5-BaseYr))/1000)</f>
        <v>2565.0008658717493</v>
      </c>
      <c r="P34" s="364">
        <f>IF(P4&gt;ProjectLife+1,0,Main_Start*'Project Assumptions'!$L$15*((1+Main_Escal)^(P5-BaseYr))/1000)</f>
        <v>2641.9508918479014</v>
      </c>
      <c r="Q34" s="364">
        <f>IF(Q4&gt;ProjectLife+1,0,Main_Start*'Project Assumptions'!$L$15*((1+Main_Escal)^(Q5-BaseYr))/1000)</f>
        <v>2721.2094186033387</v>
      </c>
      <c r="R34" s="364">
        <f>IF(R4&gt;ProjectLife+1,0,Main_Start*'Project Assumptions'!$L$15*((1+Main_Escal)^(R5-BaseYr))/1000)</f>
        <v>2802.8457011614391</v>
      </c>
      <c r="S34" s="364">
        <f>IF(S4&gt;ProjectLife+1,0,Main_Start*'Project Assumptions'!$L$15*((1+Main_Escal)^(S5-BaseYr))/1000)</f>
        <v>2886.931072196282</v>
      </c>
      <c r="T34" s="364">
        <f>IF(T4&gt;ProjectLife+1,0,Main_Start*'Project Assumptions'!$L$15*((1+Main_Escal)^(T5-BaseYr))/1000)</f>
        <v>2973.5390043621705</v>
      </c>
      <c r="U34" s="364">
        <f>IF(U4&gt;ProjectLife+1,0,Main_Start*'Project Assumptions'!$L$15*((1+Main_Escal)^(U5-BaseYr))/1000)</f>
        <v>3062.7451744930354</v>
      </c>
      <c r="V34" s="364">
        <f>IF(V4&gt;ProjectLife+1,0,Main_Start*'Project Assumptions'!$L$15*((1+Main_Escal)^(V5-BaseYr))/1000)</f>
        <v>3154.6275297278262</v>
      </c>
      <c r="W34" s="364">
        <f>IF(W4&gt;ProjectLife+1,0,Main_Start*'Project Assumptions'!$L$15*((1+Main_Escal)^(W5-BaseYr))/1000)</f>
        <v>3249.2663556196612</v>
      </c>
      <c r="X34" s="364">
        <f>IF(X4&gt;ProjectLife+1,0,Main_Start*'Project Assumptions'!$L$15*((1+Main_Escal)^(X5-BaseYr))/1000)</f>
        <v>3346.7443462882507</v>
      </c>
      <c r="Y34" s="364">
        <f>IF(Y4&gt;ProjectLife+1,0,Main_Start*'Project Assumptions'!$L$15*((1+Main_Escal)^(Y5-BaseYr))/1000)</f>
        <v>0</v>
      </c>
      <c r="Z34" s="364">
        <f>IF(Z4&gt;ProjectLife+1,0,Main_Start*'Project Assumptions'!$L$15*((1+Main_Escal)^(Z5-BaseYr))/1000)</f>
        <v>0</v>
      </c>
      <c r="AA34" s="364">
        <f>IF(AA4&gt;ProjectLife+1,0,Main_Start*'Project Assumptions'!$L$15*((1+Main_Escal)^(AA5-BaseYr))/1000)</f>
        <v>0</v>
      </c>
      <c r="AB34" s="365">
        <f>IF(AB4&gt;ProjectLife+1,0,Main_Start*'Project Assumptions'!$L$15*((1+Main_Escal)^(AB5-BaseYr))/1000)</f>
        <v>0</v>
      </c>
    </row>
    <row r="35" spans="1:28" ht="12.6" customHeight="1">
      <c r="A35" s="1">
        <v>4</v>
      </c>
      <c r="B35" s="335" t="s">
        <v>345</v>
      </c>
      <c r="C35" s="346"/>
      <c r="D35" s="380">
        <f>IF(D4&gt;ProjectLife+1,0,Fuel_Start*'Project Assumptions'!$L$16/1000)</f>
        <v>0</v>
      </c>
      <c r="E35" s="380">
        <f>IF(E4&gt;ProjectLife+1,0,Fuel_Start*'Project Assumptions'!$L$16/1000)</f>
        <v>0</v>
      </c>
      <c r="F35" s="380">
        <f>IF(F4&gt;ProjectLife+1,0,Fuel_Start*'Project Assumptions'!$L$16/1000)</f>
        <v>0</v>
      </c>
      <c r="G35" s="380">
        <f>IF(G4&gt;ProjectLife+1,0,Fuel_Start*'Project Assumptions'!$L$16/1000)</f>
        <v>0</v>
      </c>
      <c r="H35" s="380">
        <f>IF(H4&gt;ProjectLife+1,0,Fuel_Start*'Project Assumptions'!$L$16/1000)</f>
        <v>0</v>
      </c>
      <c r="I35" s="380">
        <f>IF(I4&gt;ProjectLife+1,0,Fuel_Start*'Project Assumptions'!$L$16/1000)</f>
        <v>0</v>
      </c>
      <c r="J35" s="380">
        <f>IF(J4&gt;ProjectLife+1,0,Fuel_Start*'Project Assumptions'!$L$16/1000)</f>
        <v>0</v>
      </c>
      <c r="K35" s="380">
        <f>IF(K4&gt;ProjectLife+1,0,Fuel_Start*'Project Assumptions'!$L$16/1000)</f>
        <v>0</v>
      </c>
      <c r="L35" s="380">
        <f>IF(L4&gt;ProjectLife+1,0,Fuel_Start*'Project Assumptions'!$L$16/1000)</f>
        <v>0</v>
      </c>
      <c r="M35" s="380">
        <f>IF(M4&gt;ProjectLife+1,0,Fuel_Start*'Project Assumptions'!$L$16/1000)</f>
        <v>0</v>
      </c>
      <c r="N35" s="380">
        <f>IF(N4&gt;ProjectLife+1,0,Fuel_Start*'Project Assumptions'!$L$16/1000)</f>
        <v>0</v>
      </c>
      <c r="O35" s="380">
        <f>IF(O4&gt;ProjectLife+1,0,Fuel_Start*'Project Assumptions'!$L$16/1000)</f>
        <v>0</v>
      </c>
      <c r="P35" s="380">
        <f>IF(P4&gt;ProjectLife+1,0,Fuel_Start*'Project Assumptions'!$L$16/1000)</f>
        <v>0</v>
      </c>
      <c r="Q35" s="380">
        <f>IF(Q4&gt;ProjectLife+1,0,Fuel_Start*'Project Assumptions'!$L$16/1000)</f>
        <v>0</v>
      </c>
      <c r="R35" s="380">
        <f>IF(R4&gt;ProjectLife+1,0,Fuel_Start*'Project Assumptions'!$L$16/1000)</f>
        <v>0</v>
      </c>
      <c r="S35" s="380">
        <f>IF(S4&gt;ProjectLife+1,0,Fuel_Start*'Project Assumptions'!$L$16/1000)</f>
        <v>0</v>
      </c>
      <c r="T35" s="380">
        <f>IF(T4&gt;ProjectLife+1,0,Fuel_Start*'Project Assumptions'!$L$16/1000)</f>
        <v>0</v>
      </c>
      <c r="U35" s="380">
        <f>IF(U4&gt;ProjectLife+1,0,Fuel_Start*'Project Assumptions'!$L$16/1000)</f>
        <v>0</v>
      </c>
      <c r="V35" s="380">
        <f>IF(V4&gt;ProjectLife+1,0,Fuel_Start*'Project Assumptions'!$L$16/1000)</f>
        <v>0</v>
      </c>
      <c r="W35" s="380">
        <f>IF(W4&gt;ProjectLife+1,0,Fuel_Start*'Project Assumptions'!$L$16/1000)</f>
        <v>0</v>
      </c>
      <c r="X35" s="380">
        <f>IF(X4&gt;ProjectLife+1,0,Fuel_Start*'Project Assumptions'!$L$16/1000)</f>
        <v>0</v>
      </c>
      <c r="Y35" s="380">
        <f>IF(Y4&gt;ProjectLife+1,0,Fuel_Start*'Project Assumptions'!$L$16/1000)</f>
        <v>0</v>
      </c>
      <c r="Z35" s="380">
        <f>IF(Z4&gt;ProjectLife+1,0,Fuel_Start*'Project Assumptions'!$L$16/1000)</f>
        <v>0</v>
      </c>
      <c r="AA35" s="380">
        <f>IF(AA4&gt;ProjectLife+1,0,Fuel_Start*'Project Assumptions'!$L$16/1000)</f>
        <v>0</v>
      </c>
      <c r="AB35" s="381">
        <f>IF(AB4&gt;ProjectLife+1,0,Fuel_Start*'Project Assumptions'!$L$16/1000)</f>
        <v>0</v>
      </c>
    </row>
    <row r="36" spans="1:28" ht="12.6" customHeight="1">
      <c r="B36" s="383" t="s">
        <v>535</v>
      </c>
      <c r="C36" s="346"/>
      <c r="D36" s="431">
        <f>SUM(D34:D35)</f>
        <v>1853.0111999999999</v>
      </c>
      <c r="E36" s="431">
        <f t="shared" ref="E36:AB36" si="5">SUM(E34:E35)</f>
        <v>1908.6015359999999</v>
      </c>
      <c r="F36" s="431">
        <f t="shared" si="5"/>
        <v>1965.8595820800001</v>
      </c>
      <c r="G36" s="431">
        <f t="shared" si="5"/>
        <v>2024.8353695423998</v>
      </c>
      <c r="H36" s="431">
        <f t="shared" si="5"/>
        <v>2085.5804306286718</v>
      </c>
      <c r="I36" s="431">
        <f t="shared" si="5"/>
        <v>2148.1478435475319</v>
      </c>
      <c r="J36" s="431">
        <f t="shared" si="5"/>
        <v>2212.5922788539579</v>
      </c>
      <c r="K36" s="431">
        <f t="shared" si="5"/>
        <v>2278.9700472195768</v>
      </c>
      <c r="L36" s="431">
        <f t="shared" si="5"/>
        <v>2347.3391486361643</v>
      </c>
      <c r="M36" s="431">
        <f t="shared" si="5"/>
        <v>2417.7593230952489</v>
      </c>
      <c r="N36" s="431">
        <f t="shared" si="5"/>
        <v>2490.2921027881066</v>
      </c>
      <c r="O36" s="431">
        <f t="shared" si="5"/>
        <v>2565.0008658717493</v>
      </c>
      <c r="P36" s="431">
        <f t="shared" si="5"/>
        <v>2641.9508918479014</v>
      </c>
      <c r="Q36" s="431">
        <f t="shared" si="5"/>
        <v>2721.2094186033387</v>
      </c>
      <c r="R36" s="431">
        <f t="shared" si="5"/>
        <v>2802.8457011614391</v>
      </c>
      <c r="S36" s="431">
        <f t="shared" si="5"/>
        <v>2886.931072196282</v>
      </c>
      <c r="T36" s="431">
        <f t="shared" si="5"/>
        <v>2973.5390043621705</v>
      </c>
      <c r="U36" s="431">
        <f t="shared" si="5"/>
        <v>3062.7451744930354</v>
      </c>
      <c r="V36" s="431">
        <f t="shared" si="5"/>
        <v>3154.6275297278262</v>
      </c>
      <c r="W36" s="431">
        <f t="shared" si="5"/>
        <v>3249.2663556196612</v>
      </c>
      <c r="X36" s="431">
        <f t="shared" si="5"/>
        <v>3346.7443462882507</v>
      </c>
      <c r="Y36" s="431">
        <f t="shared" si="5"/>
        <v>0</v>
      </c>
      <c r="Z36" s="431">
        <f t="shared" si="5"/>
        <v>0</v>
      </c>
      <c r="AA36" s="431">
        <f t="shared" si="5"/>
        <v>0</v>
      </c>
      <c r="AB36" s="926">
        <f t="shared" si="5"/>
        <v>0</v>
      </c>
    </row>
    <row r="37" spans="1:28" ht="12.6" customHeight="1">
      <c r="B37" s="359"/>
      <c r="C37" s="346"/>
      <c r="D37" s="364"/>
      <c r="E37" s="364"/>
      <c r="F37" s="364"/>
      <c r="G37" s="364"/>
      <c r="H37" s="364"/>
      <c r="I37" s="364"/>
      <c r="J37" s="364"/>
      <c r="K37" s="364"/>
      <c r="L37" s="364"/>
      <c r="M37" s="364"/>
      <c r="N37" s="364"/>
      <c r="O37" s="364"/>
      <c r="P37" s="364"/>
      <c r="Q37" s="364"/>
      <c r="R37" s="364"/>
      <c r="S37" s="364"/>
      <c r="T37" s="364"/>
      <c r="U37" s="364"/>
      <c r="V37" s="364"/>
      <c r="W37" s="364"/>
      <c r="X37" s="364"/>
      <c r="Y37" s="364"/>
      <c r="Z37" s="364"/>
      <c r="AA37" s="364"/>
      <c r="AB37" s="365"/>
    </row>
    <row r="38" spans="1:28" ht="12.6" customHeight="1">
      <c r="B38" s="390" t="s">
        <v>536</v>
      </c>
      <c r="C38" s="346"/>
      <c r="D38" s="364"/>
      <c r="E38" s="364"/>
      <c r="F38" s="364"/>
      <c r="G38" s="364"/>
      <c r="H38" s="364"/>
      <c r="I38" s="364"/>
      <c r="J38" s="364"/>
      <c r="K38" s="364"/>
      <c r="L38" s="364"/>
      <c r="M38" s="364"/>
      <c r="N38" s="364"/>
      <c r="O38" s="364"/>
      <c r="P38" s="364"/>
      <c r="Q38" s="364"/>
      <c r="R38" s="364"/>
      <c r="S38" s="364"/>
      <c r="T38" s="364"/>
      <c r="U38" s="364"/>
      <c r="V38" s="364"/>
      <c r="W38" s="364"/>
      <c r="X38" s="364"/>
      <c r="Y38" s="364"/>
      <c r="Z38" s="364"/>
      <c r="AA38" s="364"/>
      <c r="AB38" s="365"/>
    </row>
    <row r="39" spans="1:28" ht="12.6" customHeight="1">
      <c r="A39" s="1">
        <v>2</v>
      </c>
      <c r="B39" s="359" t="s">
        <v>357</v>
      </c>
      <c r="C39" s="346">
        <f>AVERAGE(D39:W39)</f>
        <v>990.4400477213394</v>
      </c>
      <c r="D39" s="360">
        <f>Labor*((1+OM_Escal)^('Book Income Statement'!D5-'Project Assumptions'!$N$6))*('Book Income Statement'!D6/12)</f>
        <v>436.8058333333334</v>
      </c>
      <c r="E39" s="360">
        <f>Labor*((1+OM_Escal)^('Book Income Statement'!E5-'Project Assumptions'!$N$6))*('Book Income Statement'!E6/12)</f>
        <v>771.27429999999993</v>
      </c>
      <c r="F39" s="360">
        <f>Labor*((1+OM_Escal)^('Book Income Statement'!F5-'Project Assumptions'!$N$6))*('Book Income Statement'!F6/12)</f>
        <v>794.41252899999995</v>
      </c>
      <c r="G39" s="360">
        <f>Labor*((1+OM_Escal)^('Book Income Statement'!G5-'Project Assumptions'!$N$6))*('Book Income Statement'!G6/12)</f>
        <v>818.24490486999991</v>
      </c>
      <c r="H39" s="360">
        <f>Labor*((1+OM_Escal)^('Book Income Statement'!H5-'Project Assumptions'!$N$6))*('Book Income Statement'!H6/12)</f>
        <v>842.79225201609984</v>
      </c>
      <c r="I39" s="360">
        <f>Labor*((1+OM_Escal)^('Book Income Statement'!I5-'Project Assumptions'!$N$6))*('Book Income Statement'!I6/12)</f>
        <v>868.07601957658289</v>
      </c>
      <c r="J39" s="360">
        <f>Labor*((1+OM_Escal)^('Book Income Statement'!J5-'Project Assumptions'!$N$6))*('Book Income Statement'!J6/12)</f>
        <v>894.11830016388046</v>
      </c>
      <c r="K39" s="360">
        <f>Labor*((1+OM_Escal)^('Book Income Statement'!K5-'Project Assumptions'!$N$6))*('Book Income Statement'!K6/12)</f>
        <v>920.94184916879681</v>
      </c>
      <c r="L39" s="360">
        <f>Labor*((1+OM_Escal)^('Book Income Statement'!L5-'Project Assumptions'!$N$6))*('Book Income Statement'!L6/12)</f>
        <v>948.57010464386076</v>
      </c>
      <c r="M39" s="360">
        <f>Labor*((1+OM_Escal)^('Book Income Statement'!M5-'Project Assumptions'!$N$6))*('Book Income Statement'!M6/12)</f>
        <v>977.02720778317655</v>
      </c>
      <c r="N39" s="360">
        <f>Labor*((1+OM_Escal)^('Book Income Statement'!N5-'Project Assumptions'!$N$6))*('Book Income Statement'!N6/12)</f>
        <v>1006.3380240166719</v>
      </c>
      <c r="O39" s="360">
        <f>Labor*((1+OM_Escal)^('Book Income Statement'!O5-'Project Assumptions'!$N$6))*('Book Income Statement'!O6/12)</f>
        <v>1036.5281647371719</v>
      </c>
      <c r="P39" s="360">
        <f>Labor*((1+OM_Escal)^('Book Income Statement'!P5-'Project Assumptions'!$N$6))*('Book Income Statement'!P6/12)</f>
        <v>1067.6240096792869</v>
      </c>
      <c r="Q39" s="360">
        <f>Labor*((1+OM_Escal)^('Book Income Statement'!Q5-'Project Assumptions'!$N$6))*('Book Income Statement'!Q6/12)</f>
        <v>1099.6527299696656</v>
      </c>
      <c r="R39" s="360">
        <f>Labor*((1+OM_Escal)^('Book Income Statement'!R5-'Project Assumptions'!$N$6))*('Book Income Statement'!R6/12)</f>
        <v>1132.6423118687558</v>
      </c>
      <c r="S39" s="360">
        <f>Labor*((1+OM_Escal)^('Book Income Statement'!S5-'Project Assumptions'!$N$6))*('Book Income Statement'!S6/12)</f>
        <v>1166.6215812248181</v>
      </c>
      <c r="T39" s="360">
        <f>Labor*((1+OM_Escal)^('Book Income Statement'!T5-'Project Assumptions'!$N$6))*('Book Income Statement'!T6/12)</f>
        <v>1201.6202286615628</v>
      </c>
      <c r="U39" s="360">
        <f>Labor*((1+OM_Escal)^('Book Income Statement'!U5-'Project Assumptions'!$N$6))*('Book Income Statement'!U6/12)</f>
        <v>1237.6688355214096</v>
      </c>
      <c r="V39" s="360">
        <f>Labor*((1+OM_Escal)^('Book Income Statement'!V5-'Project Assumptions'!$N$6))*('Book Income Statement'!V6/12)</f>
        <v>1274.798900587052</v>
      </c>
      <c r="W39" s="360">
        <f>Labor*((1+OM_Escal)^('Book Income Statement'!W5-'Project Assumptions'!$N$6))*('Book Income Statement'!W6/12)</f>
        <v>1313.0428676046633</v>
      </c>
      <c r="X39" s="360">
        <f>Labor*((1+OM_Escal)^('Book Income Statement'!X5-'Project Assumptions'!$N$6))*('Book Income Statement'!X6/12)</f>
        <v>563.51423068033466</v>
      </c>
      <c r="Y39" s="360">
        <f>Labor*((1+OM_Escal)^('Book Income Statement'!Y5-'Project Assumptions'!$N$6))*('Book Income Statement'!Y6/12)</f>
        <v>0</v>
      </c>
      <c r="Z39" s="360">
        <f>Labor*((1+OM_Escal)^('Book Income Statement'!Z5-'Project Assumptions'!$N$6))*('Book Income Statement'!Z6/12)</f>
        <v>0</v>
      </c>
      <c r="AA39" s="360">
        <f>Labor*((1+OM_Escal)^('Book Income Statement'!AA5-'Project Assumptions'!$N$6))*('Book Income Statement'!AA6/12)</f>
        <v>0</v>
      </c>
      <c r="AB39" s="361">
        <f>Labor*((1+OM_Escal)^('Book Income Statement'!AB5-'Project Assumptions'!$N$6))*('Book Income Statement'!AB6/12)</f>
        <v>0</v>
      </c>
    </row>
    <row r="40" spans="1:28" ht="12.6" customHeight="1">
      <c r="A40" s="1">
        <v>2</v>
      </c>
      <c r="B40" s="359" t="s">
        <v>358</v>
      </c>
      <c r="C40" s="346">
        <f t="shared" ref="C40:C52" si="6">AVERAGE(D40:W40)</f>
        <v>367.83880726927322</v>
      </c>
      <c r="D40" s="360">
        <f>Fixed*((1+OM_Escal)^('Book Income Statement'!D5-'Project Assumptions'!$N$6))*('Book Income Statement'!D6/12)</f>
        <v>162.22500000000002</v>
      </c>
      <c r="E40" s="360">
        <f>Fixed*((1+OM_Escal)^('Book Income Statement'!E5-'Project Assumptions'!$N$6))*('Book Income Statement'!E6/12)</f>
        <v>286.44299999999998</v>
      </c>
      <c r="F40" s="360">
        <f>Fixed*((1+OM_Escal)^('Book Income Statement'!F5-'Project Assumptions'!$N$6))*('Book Income Statement'!F6/12)</f>
        <v>295.03629000000001</v>
      </c>
      <c r="G40" s="360">
        <f>Fixed*((1+OM_Escal)^('Book Income Statement'!G5-'Project Assumptions'!$N$6))*('Book Income Statement'!G6/12)</f>
        <v>303.8873787</v>
      </c>
      <c r="H40" s="360">
        <f>Fixed*((1+OM_Escal)^('Book Income Statement'!H5-'Project Assumptions'!$N$6))*('Book Income Statement'!H6/12)</f>
        <v>313.00400006099994</v>
      </c>
      <c r="I40" s="360">
        <f>Fixed*((1+OM_Escal)^('Book Income Statement'!I5-'Project Assumptions'!$N$6))*('Book Income Statement'!I6/12)</f>
        <v>322.39412006282998</v>
      </c>
      <c r="J40" s="360">
        <f>Fixed*((1+OM_Escal)^('Book Income Statement'!J5-'Project Assumptions'!$N$6))*('Book Income Statement'!J6/12)</f>
        <v>332.06594366471489</v>
      </c>
      <c r="K40" s="360">
        <f>Fixed*((1+OM_Escal)^('Book Income Statement'!K5-'Project Assumptions'!$N$6))*('Book Income Statement'!K6/12)</f>
        <v>342.02792197465629</v>
      </c>
      <c r="L40" s="360">
        <f>Fixed*((1+OM_Escal)^('Book Income Statement'!L5-'Project Assumptions'!$N$6))*('Book Income Statement'!L6/12)</f>
        <v>352.28875963389601</v>
      </c>
      <c r="M40" s="360">
        <f>Fixed*((1+OM_Escal)^('Book Income Statement'!M5-'Project Assumptions'!$N$6))*('Book Income Statement'!M6/12)</f>
        <v>362.85742242291286</v>
      </c>
      <c r="N40" s="360">
        <f>Fixed*((1+OM_Escal)^('Book Income Statement'!N5-'Project Assumptions'!$N$6))*('Book Income Statement'!N6/12)</f>
        <v>373.74314509560025</v>
      </c>
      <c r="O40" s="360">
        <f>Fixed*((1+OM_Escal)^('Book Income Statement'!O5-'Project Assumptions'!$N$6))*('Book Income Statement'!O6/12)</f>
        <v>384.95543944846821</v>
      </c>
      <c r="P40" s="360">
        <f>Fixed*((1+OM_Escal)^('Book Income Statement'!P5-'Project Assumptions'!$N$6))*('Book Income Statement'!P6/12)</f>
        <v>396.50410263192225</v>
      </c>
      <c r="Q40" s="360">
        <f>Fixed*((1+OM_Escal)^('Book Income Statement'!Q5-'Project Assumptions'!$N$6))*('Book Income Statement'!Q6/12)</f>
        <v>408.39922571087999</v>
      </c>
      <c r="R40" s="360">
        <f>Fixed*((1+OM_Escal)^('Book Income Statement'!R5-'Project Assumptions'!$N$6))*('Book Income Statement'!R6/12)</f>
        <v>420.65120248220637</v>
      </c>
      <c r="S40" s="360">
        <f>Fixed*((1+OM_Escal)^('Book Income Statement'!S5-'Project Assumptions'!$N$6))*('Book Income Statement'!S6/12)</f>
        <v>433.27073855667248</v>
      </c>
      <c r="T40" s="360">
        <f>Fixed*((1+OM_Escal)^('Book Income Statement'!T5-'Project Assumptions'!$N$6))*('Book Income Statement'!T6/12)</f>
        <v>446.2688607133727</v>
      </c>
      <c r="U40" s="360">
        <f>Fixed*((1+OM_Escal)^('Book Income Statement'!U5-'Project Assumptions'!$N$6))*('Book Income Statement'!U6/12)</f>
        <v>459.65692653477385</v>
      </c>
      <c r="V40" s="360">
        <f>Fixed*((1+OM_Escal)^('Book Income Statement'!V5-'Project Assumptions'!$N$6))*('Book Income Statement'!V6/12)</f>
        <v>473.44663433081706</v>
      </c>
      <c r="W40" s="360">
        <f>Fixed*((1+OM_Escal)^('Book Income Statement'!W5-'Project Assumptions'!$N$6))*('Book Income Statement'!W6/12)</f>
        <v>487.65003336074159</v>
      </c>
      <c r="X40" s="360">
        <f>Fixed*((1+OM_Escal)^('Book Income Statement'!X5-'Project Assumptions'!$N$6))*('Book Income Statement'!X6/12)</f>
        <v>209.28313931731824</v>
      </c>
      <c r="Y40" s="360">
        <f>Fixed*((1+OM_Escal)^('Book Income Statement'!Y5-'Project Assumptions'!$N$6))*('Book Income Statement'!Y6/12)</f>
        <v>0</v>
      </c>
      <c r="Z40" s="360">
        <f>Fixed*((1+OM_Escal)^('Book Income Statement'!Z5-'Project Assumptions'!$N$6))*('Book Income Statement'!Z6/12)</f>
        <v>0</v>
      </c>
      <c r="AA40" s="360">
        <f>Fixed*((1+OM_Escal)^('Book Income Statement'!AA5-'Project Assumptions'!$N$6))*('Book Income Statement'!AA6/12)</f>
        <v>0</v>
      </c>
      <c r="AB40" s="361">
        <f>Fixed*((1+OM_Escal)^('Book Income Statement'!AB5-'Project Assumptions'!$N$6))*('Book Income Statement'!AB6/12)</f>
        <v>0</v>
      </c>
    </row>
    <row r="41" spans="1:28" ht="12.6" customHeight="1">
      <c r="A41" s="1">
        <v>12</v>
      </c>
      <c r="B41" s="359" t="s">
        <v>504</v>
      </c>
      <c r="C41" s="346">
        <f t="shared" si="6"/>
        <v>286.61539769283365</v>
      </c>
      <c r="D41" s="360">
        <f>'Project Assumptions'!$N$22*((1+OM_Escal)^('Book Income Statement'!D5-'Project Assumptions'!$N$6))*(D6)/12</f>
        <v>126.40369088811997</v>
      </c>
      <c r="E41" s="360">
        <f>'Project Assumptions'!$N$22*((1+OM_Escal)^('Book Income Statement'!E5-'Project Assumptions'!$N$6))*(E6)/12</f>
        <v>223.1928027681661</v>
      </c>
      <c r="F41" s="360">
        <f>'Project Assumptions'!$N$22*((1+OM_Escal)^('Book Income Statement'!F5-'Project Assumptions'!$N$6))*(F6)/12</f>
        <v>229.88858685121104</v>
      </c>
      <c r="G41" s="360">
        <f>'Project Assumptions'!$N$22*((1+OM_Escal)^('Book Income Statement'!G5-'Project Assumptions'!$N$6))*(G6)/12</f>
        <v>236.78524445674739</v>
      </c>
      <c r="H41" s="360">
        <f>'Project Assumptions'!$N$22*((1+OM_Escal)^('Book Income Statement'!H5-'Project Assumptions'!$N$6))*(H6)/12</f>
        <v>243.88880179044978</v>
      </c>
      <c r="I41" s="360">
        <f>'Project Assumptions'!$N$22*((1+OM_Escal)^('Book Income Statement'!I5-'Project Assumptions'!$N$6))*(I6)/12</f>
        <v>251.20546584416331</v>
      </c>
      <c r="J41" s="360">
        <f>'Project Assumptions'!$N$22*((1+OM_Escal)^('Book Income Statement'!J5-'Project Assumptions'!$N$6))*(J6)/12</f>
        <v>258.74162981948825</v>
      </c>
      <c r="K41" s="360">
        <f>'Project Assumptions'!$N$22*((1+OM_Escal)^('Book Income Statement'!K5-'Project Assumptions'!$N$6))*(K6)/12</f>
        <v>266.50387871407287</v>
      </c>
      <c r="L41" s="360">
        <f>'Project Assumptions'!$N$22*((1+OM_Escal)^('Book Income Statement'!L5-'Project Assumptions'!$N$6))*(L6)/12</f>
        <v>274.49899507549503</v>
      </c>
      <c r="M41" s="360">
        <f>'Project Assumptions'!$N$22*((1+OM_Escal)^('Book Income Statement'!M5-'Project Assumptions'!$N$6))*(M6)/12</f>
        <v>282.73396492775987</v>
      </c>
      <c r="N41" s="360">
        <f>'Project Assumptions'!$N$22*((1+OM_Escal)^('Book Income Statement'!N5-'Project Assumptions'!$N$6))*(N6)/12</f>
        <v>291.21598387559271</v>
      </c>
      <c r="O41" s="360">
        <f>'Project Assumptions'!$N$22*((1+OM_Escal)^('Book Income Statement'!O5-'Project Assumptions'!$N$6))*(O6)/12</f>
        <v>299.95246339186042</v>
      </c>
      <c r="P41" s="360">
        <f>'Project Assumptions'!$N$22*((1+OM_Escal)^('Book Income Statement'!P5-'Project Assumptions'!$N$6))*(P6)/12</f>
        <v>308.95103729361625</v>
      </c>
      <c r="Q41" s="360">
        <f>'Project Assumptions'!$N$22*((1+OM_Escal)^('Book Income Statement'!Q5-'Project Assumptions'!$N$6))*(Q6)/12</f>
        <v>318.21956841242474</v>
      </c>
      <c r="R41" s="360">
        <f>'Project Assumptions'!$N$22*((1+OM_Escal)^('Book Income Statement'!R5-'Project Assumptions'!$N$6))*(R6)/12</f>
        <v>327.76615546479752</v>
      </c>
      <c r="S41" s="360">
        <f>'Project Assumptions'!$N$22*((1+OM_Escal)^('Book Income Statement'!S5-'Project Assumptions'!$N$6))*(S6)/12</f>
        <v>337.5991401287414</v>
      </c>
      <c r="T41" s="360">
        <f>'Project Assumptions'!$N$22*((1+OM_Escal)^('Book Income Statement'!T5-'Project Assumptions'!$N$6))*(T6)/12</f>
        <v>347.72711433260361</v>
      </c>
      <c r="U41" s="360">
        <f>'Project Assumptions'!$N$22*((1+OM_Escal)^('Book Income Statement'!U5-'Project Assumptions'!$N$6))*(U6)/12</f>
        <v>358.15892776258175</v>
      </c>
      <c r="V41" s="360">
        <f>'Project Assumptions'!$N$22*((1+OM_Escal)^('Book Income Statement'!V5-'Project Assumptions'!$N$6))*(V6)/12</f>
        <v>368.90369559545917</v>
      </c>
      <c r="W41" s="360">
        <f>'Project Assumptions'!$N$22*((1+OM_Escal)^('Book Income Statement'!W5-'Project Assumptions'!$N$6))*(W6)/12</f>
        <v>379.97080646332296</v>
      </c>
      <c r="X41" s="360">
        <f>'Project Assumptions'!$N$22*((1+OM_Escal)^('Book Income Statement'!X5-'Project Assumptions'!$N$6))*(X6)/12</f>
        <v>163.07080444050942</v>
      </c>
      <c r="Y41" s="360">
        <f>'Project Assumptions'!$N$22*((1+OM_Escal)^('Book Income Statement'!Y5-'Project Assumptions'!$N$6))*(Y6)/12</f>
        <v>0</v>
      </c>
      <c r="Z41" s="360">
        <f>'Project Assumptions'!$N$22*((1+OM_Escal)^('Book Income Statement'!Z5-'Project Assumptions'!$N$6))*(Z6)/12</f>
        <v>0</v>
      </c>
      <c r="AA41" s="360">
        <f>'Project Assumptions'!$N$22*((1+OM_Escal)^('Book Income Statement'!AA5-'Project Assumptions'!$N$6))*(AA6)/12</f>
        <v>0</v>
      </c>
      <c r="AB41" s="361">
        <f>'Project Assumptions'!$N$22*((1+OM_Escal)^('Book Income Statement'!AB5-'Project Assumptions'!$N$6))*(AB6)/12</f>
        <v>0</v>
      </c>
    </row>
    <row r="42" spans="1:28" ht="12.6" customHeight="1">
      <c r="B42" s="359" t="s">
        <v>621</v>
      </c>
      <c r="C42" s="346">
        <f t="shared" si="6"/>
        <v>585.03107398842951</v>
      </c>
      <c r="D42" s="360">
        <f>IF(D4&gt;ProjectLife+1,0,'Project Assumptions'!$N$23*((1+OM_Escal)^(D5-2003))*D8/12)</f>
        <v>0</v>
      </c>
      <c r="E42" s="360">
        <f>IF(E4&gt;ProjectLife+1,0,'Project Assumptions'!$N$23*((1+OM_Escal)^(E5-2003))*E8/12)</f>
        <v>0</v>
      </c>
      <c r="F42" s="360">
        <f>IF(F4&gt;ProjectLife+1,0,'Project Assumptions'!$N$23*((1+OM_Escal)^(F5-2003))*F8/12)</f>
        <v>0</v>
      </c>
      <c r="G42" s="360">
        <f>IF(G4&gt;ProjectLife+1,0,'Project Assumptions'!$N$23*((1+OM_Escal)^(G5-2003))*G8/12)</f>
        <v>319.76518000000004</v>
      </c>
      <c r="H42" s="360">
        <f>IF(H4&gt;ProjectLife+1,0,'Project Assumptions'!$N$23*((1+OM_Escal)^(H5-2003))*H8/12)</f>
        <v>564.61394640000003</v>
      </c>
      <c r="I42" s="360">
        <f>IF(I4&gt;ProjectLife+1,0,'Project Assumptions'!$N$23*((1+OM_Escal)^(I5-2003))*I8/12)</f>
        <v>581.55236479200005</v>
      </c>
      <c r="J42" s="360">
        <f>IF(J4&gt;ProjectLife+1,0,'Project Assumptions'!$N$23*((1+OM_Escal)^(J5-2003))*J8/12)</f>
        <v>598.99893573576003</v>
      </c>
      <c r="K42" s="360">
        <f>IF(K4&gt;ProjectLife+1,0,'Project Assumptions'!$N$23*((1+OM_Escal)^(K5-2003))*K8/12)</f>
        <v>616.96890380783282</v>
      </c>
      <c r="L42" s="360">
        <f>IF(L4&gt;ProjectLife+1,0,'Project Assumptions'!$N$23*((1+OM_Escal)^(L5-2003))*L8/12)</f>
        <v>635.47797092206781</v>
      </c>
      <c r="M42" s="360">
        <f>IF(M4&gt;ProjectLife+1,0,'Project Assumptions'!$N$23*((1+OM_Escal)^(M5-2003))*M8/12)</f>
        <v>654.54231004972985</v>
      </c>
      <c r="N42" s="360">
        <f>IF(N4&gt;ProjectLife+1,0,'Project Assumptions'!$N$23*((1+OM_Escal)^(N5-2003))*N8/12)</f>
        <v>674.17857935122174</v>
      </c>
      <c r="O42" s="360">
        <f>IF(O4&gt;ProjectLife+1,0,'Project Assumptions'!$N$23*((1+OM_Escal)^(O5-2003))*O8/12)</f>
        <v>694.40393673175834</v>
      </c>
      <c r="P42" s="360">
        <f>IF(P4&gt;ProjectLife+1,0,'Project Assumptions'!$N$23*((1+OM_Escal)^(P5-2003))*P8/12)</f>
        <v>715.23605483371114</v>
      </c>
      <c r="Q42" s="360">
        <f>IF(Q4&gt;ProjectLife+1,0,'Project Assumptions'!$N$23*((1+OM_Escal)^(Q5-2003))*Q8/12)</f>
        <v>736.69313647872241</v>
      </c>
      <c r="R42" s="360">
        <f>IF(R4&gt;ProjectLife+1,0,'Project Assumptions'!$N$23*((1+OM_Escal)^(R5-2003))*R8/12)</f>
        <v>758.79393057308414</v>
      </c>
      <c r="S42" s="360">
        <f>IF(S4&gt;ProjectLife+1,0,'Project Assumptions'!$N$23*((1+OM_Escal)^(S5-2003))*S8/12)</f>
        <v>781.55774849027659</v>
      </c>
      <c r="T42" s="360">
        <f>IF(T4&gt;ProjectLife+1,0,'Project Assumptions'!$N$23*((1+OM_Escal)^(T5-2003))*T8/12)</f>
        <v>805.00448094498495</v>
      </c>
      <c r="U42" s="360">
        <f>IF(U4&gt;ProjectLife+1,0,'Project Assumptions'!$N$23*((1+OM_Escal)^(U5-2003))*U8/12)</f>
        <v>829.15461537333442</v>
      </c>
      <c r="V42" s="360">
        <f>IF(V4&gt;ProjectLife+1,0,'Project Assumptions'!$N$23*((1+OM_Escal)^(V5-2003))*V8/12)</f>
        <v>854.02925383453442</v>
      </c>
      <c r="W42" s="360">
        <f>IF(W4&gt;ProjectLife+1,0,'Project Assumptions'!$N$23*((1+OM_Escal)^(W5-2003))*W8/12)</f>
        <v>879.65013144957038</v>
      </c>
      <c r="X42" s="360">
        <f>IF(X4&gt;ProjectLife+1,0,'Project Assumptions'!$N$23*((1+OM_Escal)^(X5-2003))*X8/12)</f>
        <v>377.51651474710729</v>
      </c>
      <c r="Y42" s="360">
        <f>IF(Y4&gt;ProjectLife+1,0,'Project Assumptions'!$N$23*((1+OM_Escal)^(Y5-2003))*Y8/12)</f>
        <v>0</v>
      </c>
      <c r="Z42" s="360">
        <f>IF(Z4&gt;ProjectLife+1,0,'Project Assumptions'!$N$23*((1+OM_Escal)^(Z5-2003))*Z8/12)</f>
        <v>0</v>
      </c>
      <c r="AA42" s="360">
        <f>IF(AA4&gt;ProjectLife+1,0,'Project Assumptions'!$N$23*((1+OM_Escal)^(AA5-2003))*AA8/12)</f>
        <v>0</v>
      </c>
      <c r="AB42" s="361">
        <f>IF(AB4&gt;ProjectLife+1,0,'Project Assumptions'!$N$23*((1+OM_Escal)^(AB5-2003))*AB8/12)</f>
        <v>0</v>
      </c>
    </row>
    <row r="43" spans="1:28" ht="12.6" customHeight="1">
      <c r="A43" s="1">
        <v>9</v>
      </c>
      <c r="B43" s="359" t="s">
        <v>503</v>
      </c>
      <c r="C43" s="385">
        <f t="shared" si="6"/>
        <v>340.59148821229007</v>
      </c>
      <c r="D43" s="1026">
        <f>'Project Assumptions'!$N$24*((1+OM_Escal)^('Book Income Statement'!D5-'Project Assumptions'!$N$6))*D6/12</f>
        <v>150.20833333333334</v>
      </c>
      <c r="E43" s="1026">
        <f>'Project Assumptions'!$N$24*((1+OM_Escal)^('Book Income Statement'!E5-'Project Assumptions'!$N$6))*E6/12</f>
        <v>265.22499999999997</v>
      </c>
      <c r="F43" s="1026">
        <f>'Project Assumptions'!$N$24*((1+OM_Escal)^('Book Income Statement'!F5-'Project Assumptions'!$N$6))*F6/12</f>
        <v>273.18175000000002</v>
      </c>
      <c r="G43" s="1026">
        <f>'Project Assumptions'!$N$24*((1+OM_Escal)^('Book Income Statement'!G5-'Project Assumptions'!$N$6))*G6/12</f>
        <v>281.37720249999995</v>
      </c>
      <c r="H43" s="1026">
        <f>'Project Assumptions'!$N$24*((1+OM_Escal)^('Book Income Statement'!H5-'Project Assumptions'!$N$6))*H6/12</f>
        <v>289.81851857499998</v>
      </c>
      <c r="I43" s="1026">
        <f>'Project Assumptions'!$N$24*((1+OM_Escal)^('Book Income Statement'!I5-'Project Assumptions'!$N$6))*I6/12</f>
        <v>298.51307413224998</v>
      </c>
      <c r="J43" s="1026">
        <f>'Project Assumptions'!$N$24*((1+OM_Escal)^('Book Income Statement'!J5-'Project Assumptions'!$N$6))*J6/12</f>
        <v>307.4684663562175</v>
      </c>
      <c r="K43" s="1026">
        <f>'Project Assumptions'!$N$24*((1+OM_Escal)^('Book Income Statement'!K5-'Project Assumptions'!$N$6))*K6/12</f>
        <v>316.69252034690396</v>
      </c>
      <c r="L43" s="1026">
        <f>'Project Assumptions'!$N$24*((1+OM_Escal)^('Book Income Statement'!L5-'Project Assumptions'!$N$6))*L6/12</f>
        <v>326.19329595731114</v>
      </c>
      <c r="M43" s="1026">
        <f>'Project Assumptions'!$N$24*((1+OM_Escal)^('Book Income Statement'!M5-'Project Assumptions'!$N$6))*M6/12</f>
        <v>335.97909483603047</v>
      </c>
      <c r="N43" s="1026">
        <f>'Project Assumptions'!$N$24*((1+OM_Escal)^('Book Income Statement'!N5-'Project Assumptions'!$N$6))*N6/12</f>
        <v>346.05846768111138</v>
      </c>
      <c r="O43" s="1026">
        <f>'Project Assumptions'!$N$24*((1+OM_Escal)^('Book Income Statement'!O5-'Project Assumptions'!$N$6))*O6/12</f>
        <v>356.44022171154467</v>
      </c>
      <c r="P43" s="1026">
        <f>'Project Assumptions'!$N$24*((1+OM_Escal)^('Book Income Statement'!P5-'Project Assumptions'!$N$6))*P6/12</f>
        <v>367.13342836289098</v>
      </c>
      <c r="Q43" s="1026">
        <f>'Project Assumptions'!$N$24*((1+OM_Escal)^('Book Income Statement'!Q5-'Project Assumptions'!$N$6))*Q6/12</f>
        <v>378.14743121377774</v>
      </c>
      <c r="R43" s="1026">
        <f>'Project Assumptions'!$N$24*((1+OM_Escal)^('Book Income Statement'!R5-'Project Assumptions'!$N$6))*R6/12</f>
        <v>389.4918541501911</v>
      </c>
      <c r="S43" s="1026">
        <f>'Project Assumptions'!$N$24*((1+OM_Escal)^('Book Income Statement'!S5-'Project Assumptions'!$N$6))*S6/12</f>
        <v>401.17660977469677</v>
      </c>
      <c r="T43" s="1026">
        <f>'Project Assumptions'!$N$24*((1+OM_Escal)^('Book Income Statement'!T5-'Project Assumptions'!$N$6))*T6/12</f>
        <v>413.21190806793766</v>
      </c>
      <c r="U43" s="1026">
        <f>'Project Assumptions'!$N$24*((1+OM_Escal)^('Book Income Statement'!U5-'Project Assumptions'!$N$6))*U6/12</f>
        <v>425.60826530997582</v>
      </c>
      <c r="V43" s="1026">
        <f>'Project Assumptions'!$N$24*((1+OM_Escal)^('Book Income Statement'!V5-'Project Assumptions'!$N$6))*V6/12</f>
        <v>438.37651326927499</v>
      </c>
      <c r="W43" s="1026">
        <f>'Project Assumptions'!$N$24*((1+OM_Escal)^('Book Income Statement'!W5-'Project Assumptions'!$N$6))*W6/12</f>
        <v>451.52780866735333</v>
      </c>
      <c r="X43" s="1026">
        <f>'Project Assumptions'!$N$24*((1+OM_Escal)^('Book Income Statement'!X5-'Project Assumptions'!$N$6))*X6/12</f>
        <v>193.78068455307243</v>
      </c>
      <c r="Y43" s="1026">
        <f>'Project Assumptions'!$N$24*((1+OM_Escal)^('Book Income Statement'!Y5-'Project Assumptions'!$N$6))*Y6/12</f>
        <v>0</v>
      </c>
      <c r="Z43" s="1026">
        <f>'Project Assumptions'!$N$24*((1+OM_Escal)^('Book Income Statement'!Z5-'Project Assumptions'!$N$6))*Z6/12</f>
        <v>0</v>
      </c>
      <c r="AA43" s="1026">
        <f>'Project Assumptions'!$N$24*((1+OM_Escal)^('Book Income Statement'!AA5-'Project Assumptions'!$N$6))*AA6/12</f>
        <v>0</v>
      </c>
      <c r="AB43" s="1027">
        <f>'Project Assumptions'!$N$24*((1+OM_Escal)^('Book Income Statement'!AB5-'Project Assumptions'!$N$6))*AB6/12</f>
        <v>0</v>
      </c>
    </row>
    <row r="44" spans="1:28" ht="12.6" customHeight="1">
      <c r="B44" s="390" t="s">
        <v>548</v>
      </c>
      <c r="C44" s="431">
        <f t="shared" si="6"/>
        <v>2570.5168148841667</v>
      </c>
      <c r="D44" s="924">
        <f>SUM(D39:D43)</f>
        <v>875.64285755478681</v>
      </c>
      <c r="E44" s="924">
        <f t="shared" ref="E44:AB44" si="7">SUM(E39:E43)</f>
        <v>1546.1351027681658</v>
      </c>
      <c r="F44" s="924">
        <f t="shared" si="7"/>
        <v>1592.5191558512111</v>
      </c>
      <c r="G44" s="924">
        <f t="shared" si="7"/>
        <v>1960.0599105267474</v>
      </c>
      <c r="H44" s="924">
        <f t="shared" si="7"/>
        <v>2254.1175188425495</v>
      </c>
      <c r="I44" s="924">
        <f t="shared" si="7"/>
        <v>2321.7410444078264</v>
      </c>
      <c r="J44" s="924">
        <f t="shared" si="7"/>
        <v>2391.3932757400612</v>
      </c>
      <c r="K44" s="924">
        <f t="shared" si="7"/>
        <v>2463.135074012263</v>
      </c>
      <c r="L44" s="924">
        <f t="shared" si="7"/>
        <v>2537.0291262326305</v>
      </c>
      <c r="M44" s="924">
        <f t="shared" si="7"/>
        <v>2613.1400000196099</v>
      </c>
      <c r="N44" s="924">
        <f t="shared" si="7"/>
        <v>2691.5342000201981</v>
      </c>
      <c r="O44" s="924">
        <f t="shared" si="7"/>
        <v>2772.2802260208036</v>
      </c>
      <c r="P44" s="924">
        <f t="shared" si="7"/>
        <v>2855.4486328014273</v>
      </c>
      <c r="Q44" s="924">
        <f t="shared" si="7"/>
        <v>2941.1120917854705</v>
      </c>
      <c r="R44" s="924">
        <f t="shared" si="7"/>
        <v>3029.345454539035</v>
      </c>
      <c r="S44" s="924">
        <f t="shared" si="7"/>
        <v>3120.2258181752054</v>
      </c>
      <c r="T44" s="924">
        <f t="shared" si="7"/>
        <v>3213.8325927204619</v>
      </c>
      <c r="U44" s="924">
        <f t="shared" si="7"/>
        <v>3310.2475705020752</v>
      </c>
      <c r="V44" s="924">
        <f t="shared" si="7"/>
        <v>3409.5549976171378</v>
      </c>
      <c r="W44" s="924">
        <f t="shared" si="7"/>
        <v>3511.8416475456515</v>
      </c>
      <c r="X44" s="924">
        <f t="shared" si="7"/>
        <v>1507.1653737383419</v>
      </c>
      <c r="Y44" s="924">
        <f t="shared" si="7"/>
        <v>0</v>
      </c>
      <c r="Z44" s="924">
        <f t="shared" si="7"/>
        <v>0</v>
      </c>
      <c r="AA44" s="924">
        <f t="shared" si="7"/>
        <v>0</v>
      </c>
      <c r="AB44" s="925">
        <f t="shared" si="7"/>
        <v>0</v>
      </c>
    </row>
    <row r="45" spans="1:28" ht="12.6" customHeight="1">
      <c r="B45" s="359"/>
      <c r="C45" s="34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7"/>
    </row>
    <row r="46" spans="1:28" ht="12.6" customHeight="1">
      <c r="B46" s="390" t="s">
        <v>550</v>
      </c>
      <c r="C46" s="34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7"/>
    </row>
    <row r="47" spans="1:28" ht="12.6" customHeight="1">
      <c r="A47" s="1">
        <v>6</v>
      </c>
      <c r="B47" s="359" t="s">
        <v>132</v>
      </c>
      <c r="C47" s="346">
        <f t="shared" si="6"/>
        <v>396.44849227910561</v>
      </c>
      <c r="D47" s="360">
        <f>'Project Assumptions'!$N$33*((1+OM_Escal)^('Book Income Statement'!D5-'Project Assumptions'!$N$28))*D6/12</f>
        <v>174.8425</v>
      </c>
      <c r="E47" s="360">
        <f>'Project Assumptions'!$N$33*((1+OM_Escal)^('Book Income Statement'!E5-'Project Assumptions'!$N$28))*E6/12</f>
        <v>308.72190000000001</v>
      </c>
      <c r="F47" s="360">
        <f>'Project Assumptions'!$N$33*((1+OM_Escal)^('Book Income Statement'!F5-'Project Assumptions'!$N$28))*F6/12</f>
        <v>317.98355700000002</v>
      </c>
      <c r="G47" s="360">
        <f>'Project Assumptions'!$N$33*((1+OM_Escal)^('Book Income Statement'!G5-'Project Assumptions'!$N$28))*G6/12</f>
        <v>327.52306370999997</v>
      </c>
      <c r="H47" s="360">
        <f>'Project Assumptions'!$N$33*((1+OM_Escal)^('Book Income Statement'!H5-'Project Assumptions'!$N$28))*H6/12</f>
        <v>337.34875562129997</v>
      </c>
      <c r="I47" s="360">
        <f>'Project Assumptions'!$N$33*((1+OM_Escal)^('Book Income Statement'!I5-'Project Assumptions'!$N$28))*I6/12</f>
        <v>347.46921828993896</v>
      </c>
      <c r="J47" s="360">
        <f>'Project Assumptions'!$N$33*((1+OM_Escal)^('Book Income Statement'!J5-'Project Assumptions'!$N$28))*J6/12</f>
        <v>357.89329483863713</v>
      </c>
      <c r="K47" s="360">
        <f>'Project Assumptions'!$N$33*((1+OM_Escal)^('Book Income Statement'!K5-'Project Assumptions'!$N$28))*K6/12</f>
        <v>368.63009368379625</v>
      </c>
      <c r="L47" s="360">
        <f>'Project Assumptions'!$N$33*((1+OM_Escal)^('Book Income Statement'!L5-'Project Assumptions'!$N$28))*L6/12</f>
        <v>379.68899649431006</v>
      </c>
      <c r="M47" s="360">
        <f>'Project Assumptions'!$N$33*((1+OM_Escal)^('Book Income Statement'!M5-'Project Assumptions'!$N$28))*M6/12</f>
        <v>391.07966638913945</v>
      </c>
      <c r="N47" s="360">
        <f>'Project Assumptions'!$N$33*((1+OM_Escal)^('Book Income Statement'!N5-'Project Assumptions'!$N$28))*N6/12</f>
        <v>402.81205638081366</v>
      </c>
      <c r="O47" s="360">
        <f>'Project Assumptions'!$N$33*((1+OM_Escal)^('Book Income Statement'!O5-'Project Assumptions'!$N$28))*O6/12</f>
        <v>414.89641807223796</v>
      </c>
      <c r="P47" s="360">
        <f>'Project Assumptions'!$N$33*((1+OM_Escal)^('Book Income Statement'!P5-'Project Assumptions'!$N$28))*P6/12</f>
        <v>427.34331061440508</v>
      </c>
      <c r="Q47" s="360">
        <f>'Project Assumptions'!$N$33*((1+OM_Escal)^('Book Income Statement'!Q5-'Project Assumptions'!$N$28))*Q6/12</f>
        <v>440.16360993283729</v>
      </c>
      <c r="R47" s="360">
        <f>'Project Assumptions'!$N$33*((1+OM_Escal)^('Book Income Statement'!R5-'Project Assumptions'!$N$28))*R6/12</f>
        <v>453.36851823082247</v>
      </c>
      <c r="S47" s="360">
        <f>'Project Assumptions'!$N$33*((1+OM_Escal)^('Book Income Statement'!S5-'Project Assumptions'!$N$28))*S6/12</f>
        <v>466.96957377774703</v>
      </c>
      <c r="T47" s="360">
        <f>'Project Assumptions'!$N$33*((1+OM_Escal)^('Book Income Statement'!T5-'Project Assumptions'!$N$28))*T6/12</f>
        <v>480.97866099107949</v>
      </c>
      <c r="U47" s="360">
        <f>'Project Assumptions'!$N$33*((1+OM_Escal)^('Book Income Statement'!U5-'Project Assumptions'!$N$28))*U6/12</f>
        <v>495.40802082081183</v>
      </c>
      <c r="V47" s="360">
        <f>'Project Assumptions'!$N$33*((1+OM_Escal)^('Book Income Statement'!V5-'Project Assumptions'!$N$28))*V6/12</f>
        <v>510.27026144543623</v>
      </c>
      <c r="W47" s="360">
        <f>'Project Assumptions'!$N$33*((1+OM_Escal)^('Book Income Statement'!W5-'Project Assumptions'!$N$28))*W6/12</f>
        <v>525.57836928879931</v>
      </c>
      <c r="X47" s="360">
        <f>'Project Assumptions'!$N$33*((1+OM_Escal)^('Book Income Statement'!X5-'Project Assumptions'!$N$28))*X6/12</f>
        <v>225.56071681977633</v>
      </c>
      <c r="Y47" s="360">
        <f>'Project Assumptions'!$N$33*((1+OM_Escal)^('Book Income Statement'!Y5-'Project Assumptions'!$N$28))*Y6/12</f>
        <v>0</v>
      </c>
      <c r="Z47" s="360">
        <f>'Project Assumptions'!$N$33*((1+OM_Escal)^('Book Income Statement'!Z5-'Project Assumptions'!$N$28))*Z6/12</f>
        <v>0</v>
      </c>
      <c r="AA47" s="360">
        <f>'Project Assumptions'!$N$33*((1+OM_Escal)^('Book Income Statement'!AA5-'Project Assumptions'!$N$28))*AA6/12</f>
        <v>0</v>
      </c>
      <c r="AB47" s="361">
        <f>'Project Assumptions'!$N$33*((1+OM_Escal)^('Book Income Statement'!AB5-'Project Assumptions'!$N$28))*AB6/12</f>
        <v>0</v>
      </c>
    </row>
    <row r="48" spans="1:28" ht="12.6" customHeight="1">
      <c r="B48" s="359" t="s">
        <v>597</v>
      </c>
      <c r="C48" s="346">
        <f t="shared" si="6"/>
        <v>89.11828403015258</v>
      </c>
      <c r="D48" s="360">
        <f>IF(D4&gt;ProjectLife+1,0,'Project Assumptions'!$N$34*(1+OM_Escal)^(('Book Income Statement'!D5-'Project Assumptions'!$N$28)))</f>
        <v>66.332000000000008</v>
      </c>
      <c r="E48" s="360">
        <f>IF(E4&gt;ProjectLife+1,0,'Project Assumptions'!$N$34*(1+OM_Escal)^(('Book Income Statement'!E5-'Project Assumptions'!$N$28)))</f>
        <v>68.321960000000004</v>
      </c>
      <c r="F48" s="360">
        <f>IF(F4&gt;ProjectLife+1,0,'Project Assumptions'!$N$34*(1+OM_Escal)^(('Book Income Statement'!F5-'Project Assumptions'!$N$28)))</f>
        <v>70.371618800000007</v>
      </c>
      <c r="G48" s="360">
        <f>IF(G4&gt;ProjectLife+1,0,'Project Assumptions'!$N$34*(1+OM_Escal)^(('Book Income Statement'!G5-'Project Assumptions'!$N$28)))</f>
        <v>72.482767363999997</v>
      </c>
      <c r="H48" s="360">
        <f>IF(H4&gt;ProjectLife+1,0,'Project Assumptions'!$N$34*(1+OM_Escal)^(('Book Income Statement'!H5-'Project Assumptions'!$N$28)))</f>
        <v>74.65725038491999</v>
      </c>
      <c r="I48" s="360">
        <f>IF(I4&gt;ProjectLife+1,0,'Project Assumptions'!$N$34*(1+OM_Escal)^(('Book Income Statement'!I5-'Project Assumptions'!$N$28)))</f>
        <v>76.896967896467601</v>
      </c>
      <c r="J48" s="360">
        <f>IF(J4&gt;ProjectLife+1,0,'Project Assumptions'!$N$34*(1+OM_Escal)^(('Book Income Statement'!J5-'Project Assumptions'!$N$28)))</f>
        <v>79.203876933361627</v>
      </c>
      <c r="K48" s="360">
        <f>IF(K4&gt;ProjectLife+1,0,'Project Assumptions'!$N$34*(1+OM_Escal)^(('Book Income Statement'!K5-'Project Assumptions'!$N$28)))</f>
        <v>81.579993241362473</v>
      </c>
      <c r="L48" s="360">
        <f>IF(L4&gt;ProjectLife+1,0,'Project Assumptions'!$N$34*(1+OM_Escal)^(('Book Income Statement'!L5-'Project Assumptions'!$N$28)))</f>
        <v>84.02739303860335</v>
      </c>
      <c r="M48" s="360">
        <f>IF(M4&gt;ProjectLife+1,0,'Project Assumptions'!$N$34*(1+OM_Escal)^(('Book Income Statement'!M5-'Project Assumptions'!$N$28)))</f>
        <v>86.548214829761449</v>
      </c>
      <c r="N48" s="360">
        <f>IF(N4&gt;ProjectLife+1,0,'Project Assumptions'!$N$34*(1+OM_Escal)^(('Book Income Statement'!N5-'Project Assumptions'!$N$28)))</f>
        <v>89.144661274654297</v>
      </c>
      <c r="O48" s="360">
        <f>IF(O4&gt;ProjectLife+1,0,'Project Assumptions'!$N$34*(1+OM_Escal)^(('Book Income Statement'!O5-'Project Assumptions'!$N$28)))</f>
        <v>91.819001112893915</v>
      </c>
      <c r="P48" s="360">
        <f>IF(P4&gt;ProjectLife+1,0,'Project Assumptions'!$N$34*(1+OM_Escal)^(('Book Income Statement'!P5-'Project Assumptions'!$N$28)))</f>
        <v>94.573571146280727</v>
      </c>
      <c r="Q48" s="360">
        <f>IF(Q4&gt;ProjectLife+1,0,'Project Assumptions'!$N$34*(1+OM_Escal)^(('Book Income Statement'!Q5-'Project Assumptions'!$N$28)))</f>
        <v>97.410778280669163</v>
      </c>
      <c r="R48" s="360">
        <f>IF(R4&gt;ProjectLife+1,0,'Project Assumptions'!$N$34*(1+OM_Escal)^(('Book Income Statement'!R5-'Project Assumptions'!$N$28)))</f>
        <v>100.33310162908924</v>
      </c>
      <c r="S48" s="360">
        <f>IF(S4&gt;ProjectLife+1,0,'Project Assumptions'!$N$34*(1+OM_Escal)^(('Book Income Statement'!S5-'Project Assumptions'!$N$28)))</f>
        <v>103.3430946779619</v>
      </c>
      <c r="T48" s="360">
        <f>IF(T4&gt;ProjectLife+1,0,'Project Assumptions'!$N$34*(1+OM_Escal)^(('Book Income Statement'!T5-'Project Assumptions'!$N$28)))</f>
        <v>106.44338751830075</v>
      </c>
      <c r="U48" s="360">
        <f>IF(U4&gt;ProjectLife+1,0,'Project Assumptions'!$N$34*(1+OM_Escal)^(('Book Income Statement'!U5-'Project Assumptions'!$N$28)))</f>
        <v>109.63668914384978</v>
      </c>
      <c r="V48" s="360">
        <f>IF(V4&gt;ProjectLife+1,0,'Project Assumptions'!$N$34*(1+OM_Escal)^(('Book Income Statement'!V5-'Project Assumptions'!$N$28)))</f>
        <v>112.92578981816527</v>
      </c>
      <c r="W48" s="360">
        <f>IF(W4&gt;ProjectLife+1,0,'Project Assumptions'!$N$34*(1+OM_Escal)^(('Book Income Statement'!W5-'Project Assumptions'!$N$28)))</f>
        <v>116.31356351271022</v>
      </c>
      <c r="X48" s="360">
        <f>IF(X4&gt;ProjectLife+1,0,'Project Assumptions'!$N$34*(1+OM_Escal)^(('Book Income Statement'!X5-'Project Assumptions'!$N$28)))</f>
        <v>119.80297041809152</v>
      </c>
      <c r="Y48" s="360">
        <f>IF(Y4&gt;ProjectLife+1,0,'Project Assumptions'!$N$34*(1+OM_Escal)^(('Book Income Statement'!Y5-'Project Assumptions'!$N$28)))</f>
        <v>0</v>
      </c>
      <c r="Z48" s="360">
        <f>IF(Z4&gt;ProjectLife+1,0,'Project Assumptions'!$N$34*(1+OM_Escal)^(('Book Income Statement'!Z5-'Project Assumptions'!$N$28)))</f>
        <v>0</v>
      </c>
      <c r="AA48" s="360">
        <f>IF(AA4&gt;ProjectLife+1,0,'Project Assumptions'!$N$34*(1+OM_Escal)^(('Book Income Statement'!AA5-'Project Assumptions'!$N$28)))</f>
        <v>0</v>
      </c>
      <c r="AB48" s="361">
        <f>IF(AB4&gt;ProjectLife+1,0,'Project Assumptions'!$N$34*(1+OM_Escal)^(('Book Income Statement'!AB5-'Project Assumptions'!$N$28)))</f>
        <v>0</v>
      </c>
    </row>
    <row r="49" spans="1:28" ht="12.6" customHeight="1">
      <c r="A49" s="1">
        <v>7</v>
      </c>
      <c r="B49" s="359" t="s">
        <v>598</v>
      </c>
      <c r="C49" s="346">
        <f t="shared" si="6"/>
        <v>389.63666251485978</v>
      </c>
      <c r="D49" s="360">
        <f>'Project Assumptions'!$N$35*(1+OM_Escal)^(('Book Income Statement'!D5-'Project Assumptions'!$N$28))*(D6/12)</f>
        <v>171.83833333333334</v>
      </c>
      <c r="E49" s="360">
        <f>'Project Assumptions'!$N$35*(1+OM_Escal)^(('Book Income Statement'!E5-'Project Assumptions'!$N$28))*(E6/12)</f>
        <v>303.41739999999999</v>
      </c>
      <c r="F49" s="360">
        <f>'Project Assumptions'!$N$35*(1+OM_Escal)^(('Book Income Statement'!F5-'Project Assumptions'!$N$28))*(F6/12)</f>
        <v>312.51992200000001</v>
      </c>
      <c r="G49" s="360">
        <f>'Project Assumptions'!$N$35*(1+OM_Escal)^(('Book Income Statement'!G5-'Project Assumptions'!$N$28))*(G6/12)</f>
        <v>321.89551965999999</v>
      </c>
      <c r="H49" s="360">
        <f>'Project Assumptions'!$N$35*(1+OM_Escal)^(('Book Income Statement'!H5-'Project Assumptions'!$N$28))*(H6/12)</f>
        <v>331.55238524979995</v>
      </c>
      <c r="I49" s="360">
        <f>'Project Assumptions'!$N$35*(1+OM_Escal)^(('Book Income Statement'!I5-'Project Assumptions'!$N$28))*(I6/12)</f>
        <v>341.49895680729395</v>
      </c>
      <c r="J49" s="360">
        <f>'Project Assumptions'!$N$35*(1+OM_Escal)^(('Book Income Statement'!J5-'Project Assumptions'!$N$28))*(J6/12)</f>
        <v>351.74392551151283</v>
      </c>
      <c r="K49" s="360">
        <f>'Project Assumptions'!$N$35*(1+OM_Escal)^(('Book Income Statement'!K5-'Project Assumptions'!$N$28))*(K6/12)</f>
        <v>362.29624327685815</v>
      </c>
      <c r="L49" s="360">
        <f>'Project Assumptions'!$N$35*(1+OM_Escal)^(('Book Income Statement'!L5-'Project Assumptions'!$N$28))*(L6/12)</f>
        <v>373.16513057516391</v>
      </c>
      <c r="M49" s="360">
        <f>'Project Assumptions'!$N$35*(1+OM_Escal)^(('Book Income Statement'!M5-'Project Assumptions'!$N$28))*(M6/12)</f>
        <v>384.36008449241882</v>
      </c>
      <c r="N49" s="360">
        <f>'Project Assumptions'!$N$35*(1+OM_Escal)^(('Book Income Statement'!N5-'Project Assumptions'!$N$28))*(N6/12)</f>
        <v>395.89088702719141</v>
      </c>
      <c r="O49" s="360">
        <f>'Project Assumptions'!$N$35*(1+OM_Escal)^(('Book Income Statement'!O5-'Project Assumptions'!$N$28))*(O6/12)</f>
        <v>407.76761363800711</v>
      </c>
      <c r="P49" s="360">
        <f>'Project Assumptions'!$N$35*(1+OM_Escal)^(('Book Income Statement'!P5-'Project Assumptions'!$N$28))*(P6/12)</f>
        <v>420.00064204714727</v>
      </c>
      <c r="Q49" s="360">
        <f>'Project Assumptions'!$N$35*(1+OM_Escal)^(('Book Income Statement'!Q5-'Project Assumptions'!$N$28))*(Q6/12)</f>
        <v>432.60066130856177</v>
      </c>
      <c r="R49" s="360">
        <f>'Project Assumptions'!$N$35*(1+OM_Escal)^(('Book Income Statement'!R5-'Project Assumptions'!$N$28))*(R6/12)</f>
        <v>445.5786811478186</v>
      </c>
      <c r="S49" s="360">
        <f>'Project Assumptions'!$N$35*(1+OM_Escal)^(('Book Income Statement'!S5-'Project Assumptions'!$N$28))*(S6/12)</f>
        <v>458.94604158225309</v>
      </c>
      <c r="T49" s="360">
        <f>'Project Assumptions'!$N$35*(1+OM_Escal)^(('Book Income Statement'!T5-'Project Assumptions'!$N$28))*(T6/12)</f>
        <v>472.71442282972072</v>
      </c>
      <c r="U49" s="360">
        <f>'Project Assumptions'!$N$35*(1+OM_Escal)^(('Book Income Statement'!U5-'Project Assumptions'!$N$28))*(U6/12)</f>
        <v>486.89585551461232</v>
      </c>
      <c r="V49" s="360">
        <f>'Project Assumptions'!$N$35*(1+OM_Escal)^(('Book Income Statement'!V5-'Project Assumptions'!$N$28))*(V6/12)</f>
        <v>501.50273118005066</v>
      </c>
      <c r="W49" s="360">
        <f>'Project Assumptions'!$N$35*(1+OM_Escal)^(('Book Income Statement'!W5-'Project Assumptions'!$N$28))*(W6/12)</f>
        <v>516.54781311545219</v>
      </c>
      <c r="X49" s="360">
        <f>'Project Assumptions'!$N$35*(1+OM_Escal)^(('Book Income Statement'!X5-'Project Assumptions'!$N$28))*(X6/12)</f>
        <v>221.68510312871487</v>
      </c>
      <c r="Y49" s="360">
        <f>'Project Assumptions'!$N$35*(1+OM_Escal)^(('Book Income Statement'!Y5-'Project Assumptions'!$N$28))*(Y6/12)</f>
        <v>0</v>
      </c>
      <c r="Z49" s="360">
        <f>'Project Assumptions'!$N$35*(1+OM_Escal)^(('Book Income Statement'!Z5-'Project Assumptions'!$N$28))*(Z6/12)</f>
        <v>0</v>
      </c>
      <c r="AA49" s="360">
        <f>'Project Assumptions'!$N$35*(1+OM_Escal)^(('Book Income Statement'!AA5-'Project Assumptions'!$N$28))*(AA6/12)</f>
        <v>0</v>
      </c>
      <c r="AB49" s="361">
        <f>'Project Assumptions'!$N$35*(1+OM_Escal)^(('Book Income Statement'!AB5-'Project Assumptions'!$N$28))*(AB6/12)</f>
        <v>0</v>
      </c>
    </row>
    <row r="50" spans="1:28" ht="12.6" customHeight="1">
      <c r="A50" s="1">
        <v>7</v>
      </c>
      <c r="B50" s="359" t="s">
        <v>81</v>
      </c>
      <c r="C50" s="346">
        <f t="shared" si="6"/>
        <v>136.23659528491601</v>
      </c>
      <c r="D50" s="360">
        <f>'Project Assumptions'!$N$36*((1+OM_Escal)^('Book Income Statement'!D5-'Project Assumptions'!$N$28))*(D6/12)</f>
        <v>60.083333333333336</v>
      </c>
      <c r="E50" s="360">
        <f>'Project Assumptions'!$N$36*((1+OM_Escal)^('Book Income Statement'!E5-'Project Assumptions'!$N$28))*(E6/12)</f>
        <v>106.08999999999999</v>
      </c>
      <c r="F50" s="360">
        <f>'Project Assumptions'!$N$36*((1+OM_Escal)^('Book Income Statement'!F5-'Project Assumptions'!$N$28))*(F6/12)</f>
        <v>109.2727</v>
      </c>
      <c r="G50" s="360">
        <f>'Project Assumptions'!$N$36*((1+OM_Escal)^('Book Income Statement'!G5-'Project Assumptions'!$N$28))*(G6/12)</f>
        <v>112.55088099999999</v>
      </c>
      <c r="H50" s="360">
        <f>'Project Assumptions'!$N$36*((1+OM_Escal)^('Book Income Statement'!H5-'Project Assumptions'!$N$28))*(H6/12)</f>
        <v>115.92740742999999</v>
      </c>
      <c r="I50" s="360">
        <f>'Project Assumptions'!$N$36*((1+OM_Escal)^('Book Income Statement'!I5-'Project Assumptions'!$N$28))*(I6/12)</f>
        <v>119.40522965289999</v>
      </c>
      <c r="J50" s="360">
        <f>'Project Assumptions'!$N$36*((1+OM_Escal)^('Book Income Statement'!J5-'Project Assumptions'!$N$28))*(J6/12)</f>
        <v>122.987386542487</v>
      </c>
      <c r="K50" s="360">
        <f>'Project Assumptions'!$N$36*((1+OM_Escal)^('Book Income Statement'!K5-'Project Assumptions'!$N$28))*(K6/12)</f>
        <v>126.67700813876159</v>
      </c>
      <c r="L50" s="360">
        <f>'Project Assumptions'!$N$36*((1+OM_Escal)^('Book Income Statement'!L5-'Project Assumptions'!$N$28))*(L6/12)</f>
        <v>130.47731838292444</v>
      </c>
      <c r="M50" s="360">
        <f>'Project Assumptions'!$N$36*((1+OM_Escal)^('Book Income Statement'!M5-'Project Assumptions'!$N$28))*(M6/12)</f>
        <v>134.39163793441219</v>
      </c>
      <c r="N50" s="360">
        <f>'Project Assumptions'!$N$36*((1+OM_Escal)^('Book Income Statement'!N5-'Project Assumptions'!$N$28))*(N6/12)</f>
        <v>138.42338707244454</v>
      </c>
      <c r="O50" s="360">
        <f>'Project Assumptions'!$N$36*((1+OM_Escal)^('Book Income Statement'!O5-'Project Assumptions'!$N$28))*(O6/12)</f>
        <v>142.57608868461787</v>
      </c>
      <c r="P50" s="360">
        <f>'Project Assumptions'!$N$36*((1+OM_Escal)^('Book Income Statement'!P5-'Project Assumptions'!$N$28))*(P6/12)</f>
        <v>146.8533713451564</v>
      </c>
      <c r="Q50" s="360">
        <f>'Project Assumptions'!$N$36*((1+OM_Escal)^('Book Income Statement'!Q5-'Project Assumptions'!$N$28))*(Q6/12)</f>
        <v>151.25897248551109</v>
      </c>
      <c r="R50" s="360">
        <f>'Project Assumptions'!$N$36*((1+OM_Escal)^('Book Income Statement'!R5-'Project Assumptions'!$N$28))*(R6/12)</f>
        <v>155.79674166007644</v>
      </c>
      <c r="S50" s="360">
        <f>'Project Assumptions'!$N$36*((1+OM_Escal)^('Book Income Statement'!S5-'Project Assumptions'!$N$28))*(S6/12)</f>
        <v>160.4706439098787</v>
      </c>
      <c r="T50" s="360">
        <f>'Project Assumptions'!$N$36*((1+OM_Escal)^('Book Income Statement'!T5-'Project Assumptions'!$N$28))*(T6/12)</f>
        <v>165.28476322717506</v>
      </c>
      <c r="U50" s="360">
        <f>'Project Assumptions'!$N$36*((1+OM_Escal)^('Book Income Statement'!U5-'Project Assumptions'!$N$28))*(U6/12)</f>
        <v>170.24330612399032</v>
      </c>
      <c r="V50" s="360">
        <f>'Project Assumptions'!$N$36*((1+OM_Escal)^('Book Income Statement'!V5-'Project Assumptions'!$N$28))*(V6/12)</f>
        <v>175.35060530771003</v>
      </c>
      <c r="W50" s="360">
        <f>'Project Assumptions'!$N$36*((1+OM_Escal)^('Book Income Statement'!W5-'Project Assumptions'!$N$28))*(W6/12)</f>
        <v>180.61112346694134</v>
      </c>
      <c r="X50" s="360">
        <f>'Project Assumptions'!$N$36*((1+OM_Escal)^('Book Income Statement'!X5-'Project Assumptions'!$N$28))*(X6/12)</f>
        <v>77.512273821228973</v>
      </c>
      <c r="Y50" s="360">
        <f>'Project Assumptions'!$N$36*((1+OM_Escal)^('Book Income Statement'!Y5-'Project Assumptions'!$N$28))*(Y6/12)</f>
        <v>0</v>
      </c>
      <c r="Z50" s="360">
        <f>'Project Assumptions'!$N$36*((1+OM_Escal)^('Book Income Statement'!Z5-'Project Assumptions'!$N$28))*(Z6/12)</f>
        <v>0</v>
      </c>
      <c r="AA50" s="360">
        <f>'Project Assumptions'!$N$36*((1+OM_Escal)^('Book Income Statement'!AA5-'Project Assumptions'!$N$28))*(AA6/12)</f>
        <v>0</v>
      </c>
      <c r="AB50" s="361">
        <f>'Project Assumptions'!$N$36*((1+OM_Escal)^('Book Income Statement'!AB5-'Project Assumptions'!$N$28))*(AB6/12)</f>
        <v>0</v>
      </c>
    </row>
    <row r="51" spans="1:28" ht="12.6" customHeight="1">
      <c r="A51" s="1">
        <v>7</v>
      </c>
      <c r="B51" s="359" t="s">
        <v>479</v>
      </c>
      <c r="C51" s="346">
        <f t="shared" si="6"/>
        <v>40.870978585474802</v>
      </c>
      <c r="D51" s="360">
        <f>'Project Assumptions'!$N$37*((1+OM_Escal)^('Book Income Statement'!D5-'Project Assumptions'!$N$28))*(D6/12)</f>
        <v>18.025000000000002</v>
      </c>
      <c r="E51" s="360">
        <f>'Project Assumptions'!$N$37*((1+OM_Escal)^('Book Income Statement'!E5-'Project Assumptions'!$N$28))*(E6/12)</f>
        <v>31.826999999999998</v>
      </c>
      <c r="F51" s="360">
        <f>'Project Assumptions'!$N$37*((1+OM_Escal)^('Book Income Statement'!F5-'Project Assumptions'!$N$28))*(F6/12)</f>
        <v>32.78181</v>
      </c>
      <c r="G51" s="360">
        <f>'Project Assumptions'!$N$37*((1+OM_Escal)^('Book Income Statement'!G5-'Project Assumptions'!$N$28))*(G6/12)</f>
        <v>33.765264299999998</v>
      </c>
      <c r="H51" s="360">
        <f>'Project Assumptions'!$N$37*((1+OM_Escal)^('Book Income Statement'!H5-'Project Assumptions'!$N$28))*(H6/12)</f>
        <v>34.778222228999994</v>
      </c>
      <c r="I51" s="360">
        <f>'Project Assumptions'!$N$37*((1+OM_Escal)^('Book Income Statement'!I5-'Project Assumptions'!$N$28))*(I6/12)</f>
        <v>35.821568895869994</v>
      </c>
      <c r="J51" s="360">
        <f>'Project Assumptions'!$N$37*((1+OM_Escal)^('Book Income Statement'!J5-'Project Assumptions'!$N$28))*(J6/12)</f>
        <v>36.896215962746098</v>
      </c>
      <c r="K51" s="360">
        <f>'Project Assumptions'!$N$37*((1+OM_Escal)^('Book Income Statement'!K5-'Project Assumptions'!$N$28))*(K6/12)</f>
        <v>38.003102441628478</v>
      </c>
      <c r="L51" s="360">
        <f>'Project Assumptions'!$N$37*((1+OM_Escal)^('Book Income Statement'!L5-'Project Assumptions'!$N$28))*(L6/12)</f>
        <v>39.143195514877334</v>
      </c>
      <c r="M51" s="360">
        <f>'Project Assumptions'!$N$37*((1+OM_Escal)^('Book Income Statement'!M5-'Project Assumptions'!$N$28))*(M6/12)</f>
        <v>40.317491380323652</v>
      </c>
      <c r="N51" s="360">
        <f>'Project Assumptions'!$N$37*((1+OM_Escal)^('Book Income Statement'!N5-'Project Assumptions'!$N$28))*(N6/12)</f>
        <v>41.527016121733368</v>
      </c>
      <c r="O51" s="360">
        <f>'Project Assumptions'!$N$37*((1+OM_Escal)^('Book Income Statement'!O5-'Project Assumptions'!$N$28))*(O6/12)</f>
        <v>42.772826605385362</v>
      </c>
      <c r="P51" s="360">
        <f>'Project Assumptions'!$N$37*((1+OM_Escal)^('Book Income Statement'!P5-'Project Assumptions'!$N$28))*(P6/12)</f>
        <v>44.056011403546918</v>
      </c>
      <c r="Q51" s="360">
        <f>'Project Assumptions'!$N$37*((1+OM_Escal)^('Book Income Statement'!Q5-'Project Assumptions'!$N$28))*(Q6/12)</f>
        <v>45.37769174565333</v>
      </c>
      <c r="R51" s="360">
        <f>'Project Assumptions'!$N$37*((1+OM_Escal)^('Book Income Statement'!R5-'Project Assumptions'!$N$28))*(R6/12)</f>
        <v>46.739022498022933</v>
      </c>
      <c r="S51" s="360">
        <f>'Project Assumptions'!$N$37*((1+OM_Escal)^('Book Income Statement'!S5-'Project Assumptions'!$N$28))*(S6/12)</f>
        <v>48.141193172963611</v>
      </c>
      <c r="T51" s="360">
        <f>'Project Assumptions'!$N$37*((1+OM_Escal)^('Book Income Statement'!T5-'Project Assumptions'!$N$28))*(T6/12)</f>
        <v>49.58542896815252</v>
      </c>
      <c r="U51" s="360">
        <f>'Project Assumptions'!$N$37*((1+OM_Escal)^('Book Income Statement'!U5-'Project Assumptions'!$N$28))*(U6/12)</f>
        <v>51.072991837197094</v>
      </c>
      <c r="V51" s="360">
        <f>'Project Assumptions'!$N$37*((1+OM_Escal)^('Book Income Statement'!V5-'Project Assumptions'!$N$28))*(V6/12)</f>
        <v>52.605181592313009</v>
      </c>
      <c r="W51" s="360">
        <f>'Project Assumptions'!$N$37*((1+OM_Escal)^('Book Income Statement'!W5-'Project Assumptions'!$N$28))*(W6/12)</f>
        <v>54.183337040082399</v>
      </c>
      <c r="X51" s="360">
        <f>'Project Assumptions'!$N$37*((1+OM_Escal)^('Book Income Statement'!X5-'Project Assumptions'!$N$28))*(X6/12)</f>
        <v>23.253682146368693</v>
      </c>
      <c r="Y51" s="360">
        <f>'Project Assumptions'!$N$37*((1+OM_Escal)^('Book Income Statement'!Y5-'Project Assumptions'!$N$28))*(Y6/12)</f>
        <v>0</v>
      </c>
      <c r="Z51" s="360">
        <f>'Project Assumptions'!$N$37*((1+OM_Escal)^('Book Income Statement'!Z5-'Project Assumptions'!$N$28))*(Z6/12)</f>
        <v>0</v>
      </c>
      <c r="AA51" s="360">
        <f>'Project Assumptions'!$N$37*((1+OM_Escal)^('Book Income Statement'!AA5-'Project Assumptions'!$N$28))*(AA6/12)</f>
        <v>0</v>
      </c>
      <c r="AB51" s="361">
        <f>'Project Assumptions'!$N$37*((1+OM_Escal)^('Book Income Statement'!AB5-'Project Assumptions'!$N$28))*(AB6/12)</f>
        <v>0</v>
      </c>
    </row>
    <row r="52" spans="1:28" ht="12.6" customHeight="1">
      <c r="A52" s="1">
        <v>7</v>
      </c>
      <c r="B52" s="359" t="s">
        <v>82</v>
      </c>
      <c r="C52" s="346">
        <f t="shared" si="6"/>
        <v>102.17744646368701</v>
      </c>
      <c r="D52" s="388">
        <f>'Project Assumptions'!$N$38*((1+OM_Escal)^('Book Income Statement'!D5-'Project Assumptions'!$N$28))*(D6/12)</f>
        <v>45.0625</v>
      </c>
      <c r="E52" s="388">
        <f>'Project Assumptions'!$N$38*((1+OM_Escal)^('Book Income Statement'!E5-'Project Assumptions'!$N$28))*(E6/12)</f>
        <v>79.567499999999995</v>
      </c>
      <c r="F52" s="388">
        <f>'Project Assumptions'!$N$38*((1+OM_Escal)^('Book Income Statement'!F5-'Project Assumptions'!$N$28))*(F6/12)</f>
        <v>81.954525000000004</v>
      </c>
      <c r="G52" s="388">
        <f>'Project Assumptions'!$N$38*((1+OM_Escal)^('Book Income Statement'!G5-'Project Assumptions'!$N$28))*(G6/12)</f>
        <v>84.413160749999989</v>
      </c>
      <c r="H52" s="388">
        <f>'Project Assumptions'!$N$38*((1+OM_Escal)^('Book Income Statement'!H5-'Project Assumptions'!$N$28))*(H6/12)</f>
        <v>86.945555572499984</v>
      </c>
      <c r="I52" s="388">
        <f>'Project Assumptions'!$N$38*((1+OM_Escal)^('Book Income Statement'!I5-'Project Assumptions'!$N$28))*(I6/12)</f>
        <v>89.553922239674989</v>
      </c>
      <c r="J52" s="388">
        <f>'Project Assumptions'!$N$38*((1+OM_Escal)^('Book Income Statement'!J5-'Project Assumptions'!$N$28))*(J6/12)</f>
        <v>92.240539906865251</v>
      </c>
      <c r="K52" s="388">
        <f>'Project Assumptions'!$N$38*((1+OM_Escal)^('Book Income Statement'!K5-'Project Assumptions'!$N$28))*(K6/12)</f>
        <v>95.007756104071191</v>
      </c>
      <c r="L52" s="388">
        <f>'Project Assumptions'!$N$38*((1+OM_Escal)^('Book Income Statement'!L5-'Project Assumptions'!$N$28))*(L6/12)</f>
        <v>97.857988787193335</v>
      </c>
      <c r="M52" s="388">
        <f>'Project Assumptions'!$N$38*((1+OM_Escal)^('Book Income Statement'!M5-'Project Assumptions'!$N$28))*(M6/12)</f>
        <v>100.79372845080913</v>
      </c>
      <c r="N52" s="388">
        <f>'Project Assumptions'!$N$38*((1+OM_Escal)^('Book Income Statement'!N5-'Project Assumptions'!$N$28))*(N6/12)</f>
        <v>103.81754030433341</v>
      </c>
      <c r="O52" s="388">
        <f>'Project Assumptions'!$N$38*((1+OM_Escal)^('Book Income Statement'!O5-'Project Assumptions'!$N$28))*(O6/12)</f>
        <v>106.9320665134634</v>
      </c>
      <c r="P52" s="388">
        <f>'Project Assumptions'!$N$38*((1+OM_Escal)^('Book Income Statement'!P5-'Project Assumptions'!$N$28))*(P6/12)</f>
        <v>110.14002850886729</v>
      </c>
      <c r="Q52" s="388">
        <f>'Project Assumptions'!$N$38*((1+OM_Escal)^('Book Income Statement'!Q5-'Project Assumptions'!$N$28))*(Q6/12)</f>
        <v>113.44422936413332</v>
      </c>
      <c r="R52" s="388">
        <f>'Project Assumptions'!$N$38*((1+OM_Escal)^('Book Income Statement'!R5-'Project Assumptions'!$N$28))*(R6/12)</f>
        <v>116.84755624505733</v>
      </c>
      <c r="S52" s="388">
        <f>'Project Assumptions'!$N$38*((1+OM_Escal)^('Book Income Statement'!S5-'Project Assumptions'!$N$28))*(S6/12)</f>
        <v>120.35298293240903</v>
      </c>
      <c r="T52" s="388">
        <f>'Project Assumptions'!$N$38*((1+OM_Escal)^('Book Income Statement'!T5-'Project Assumptions'!$N$28))*(T6/12)</f>
        <v>123.9635724203813</v>
      </c>
      <c r="U52" s="388">
        <f>'Project Assumptions'!$N$38*((1+OM_Escal)^('Book Income Statement'!U5-'Project Assumptions'!$N$28))*(U6/12)</f>
        <v>127.68247959299275</v>
      </c>
      <c r="V52" s="388">
        <f>'Project Assumptions'!$N$38*((1+OM_Escal)^('Book Income Statement'!V5-'Project Assumptions'!$N$28))*(V6/12)</f>
        <v>131.51295398078253</v>
      </c>
      <c r="W52" s="388">
        <f>'Project Assumptions'!$N$38*((1+OM_Escal)^('Book Income Statement'!W5-'Project Assumptions'!$N$28))*(W6/12)</f>
        <v>135.45834260020598</v>
      </c>
      <c r="X52" s="388">
        <f>'Project Assumptions'!$N$38*((1+OM_Escal)^('Book Income Statement'!X5-'Project Assumptions'!$N$28))*(X6/12)</f>
        <v>58.134205365921737</v>
      </c>
      <c r="Y52" s="388">
        <f>'Project Assumptions'!$N$38*((1+OM_Escal)^('Book Income Statement'!Y5-'Project Assumptions'!$N$28))*(Y6/12)</f>
        <v>0</v>
      </c>
      <c r="Z52" s="388">
        <f>'Project Assumptions'!$N$38*((1+OM_Escal)^('Book Income Statement'!Z5-'Project Assumptions'!$N$28))*(Z6/12)</f>
        <v>0</v>
      </c>
      <c r="AA52" s="388">
        <f>'Project Assumptions'!$N$38*((1+OM_Escal)^('Book Income Statement'!AA5-'Project Assumptions'!$N$28))*(AA6/12)</f>
        <v>0</v>
      </c>
      <c r="AB52" s="389">
        <f>'Project Assumptions'!$N$38*((1+OM_Escal)^('Book Income Statement'!AB5-'Project Assumptions'!$N$28))*(AB6/12)</f>
        <v>0</v>
      </c>
    </row>
    <row r="53" spans="1:28" ht="12.6" customHeight="1">
      <c r="B53" s="390" t="s">
        <v>444</v>
      </c>
      <c r="C53" s="346"/>
      <c r="D53" s="950">
        <f>SUM(D48:D52)+D47</f>
        <v>536.18366666666668</v>
      </c>
      <c r="E53" s="950">
        <f t="shared" ref="E53:AB53" si="8">SUM(E48:E52)+E47</f>
        <v>897.94575999999995</v>
      </c>
      <c r="F53" s="950">
        <f t="shared" si="8"/>
        <v>924.88413279999997</v>
      </c>
      <c r="G53" s="950">
        <f t="shared" si="8"/>
        <v>952.63065678399994</v>
      </c>
      <c r="H53" s="950">
        <f t="shared" si="8"/>
        <v>981.20957648751983</v>
      </c>
      <c r="I53" s="950">
        <f t="shared" si="8"/>
        <v>1010.6458637821454</v>
      </c>
      <c r="J53" s="950">
        <f t="shared" si="8"/>
        <v>1040.9652396956099</v>
      </c>
      <c r="K53" s="950">
        <f t="shared" si="8"/>
        <v>1072.194196886478</v>
      </c>
      <c r="L53" s="950">
        <f t="shared" si="8"/>
        <v>1104.3600227930724</v>
      </c>
      <c r="M53" s="950">
        <f t="shared" si="8"/>
        <v>1137.4908234768645</v>
      </c>
      <c r="N53" s="950">
        <f t="shared" si="8"/>
        <v>1171.6155481811707</v>
      </c>
      <c r="O53" s="950">
        <f t="shared" si="8"/>
        <v>1206.7640146266056</v>
      </c>
      <c r="P53" s="950">
        <f t="shared" si="8"/>
        <v>1242.9669350654037</v>
      </c>
      <c r="Q53" s="950">
        <f t="shared" si="8"/>
        <v>1280.2559431173659</v>
      </c>
      <c r="R53" s="950">
        <f t="shared" si="8"/>
        <v>1318.6636214108871</v>
      </c>
      <c r="S53" s="950">
        <f t="shared" si="8"/>
        <v>1358.2235300532134</v>
      </c>
      <c r="T53" s="950">
        <f t="shared" si="8"/>
        <v>1398.9702359548098</v>
      </c>
      <c r="U53" s="950">
        <f t="shared" si="8"/>
        <v>1440.9393430334542</v>
      </c>
      <c r="V53" s="950">
        <f t="shared" si="8"/>
        <v>1484.1675233244578</v>
      </c>
      <c r="W53" s="950">
        <f t="shared" si="8"/>
        <v>1528.6925490241915</v>
      </c>
      <c r="X53" s="950">
        <f t="shared" si="8"/>
        <v>725.94895170010216</v>
      </c>
      <c r="Y53" s="950">
        <f t="shared" si="8"/>
        <v>0</v>
      </c>
      <c r="Z53" s="950">
        <f t="shared" si="8"/>
        <v>0</v>
      </c>
      <c r="AA53" s="950">
        <f t="shared" si="8"/>
        <v>0</v>
      </c>
      <c r="AB53" s="951">
        <f t="shared" si="8"/>
        <v>0</v>
      </c>
    </row>
    <row r="54" spans="1:28" ht="12.6" customHeight="1">
      <c r="B54" s="359"/>
      <c r="C54" s="346"/>
      <c r="D54" s="388"/>
      <c r="E54" s="388"/>
      <c r="F54" s="388"/>
      <c r="G54" s="388"/>
      <c r="H54" s="388"/>
      <c r="I54" s="388"/>
      <c r="J54" s="388"/>
      <c r="K54" s="388"/>
      <c r="L54" s="388"/>
      <c r="M54" s="388"/>
      <c r="N54" s="388"/>
      <c r="O54" s="388"/>
      <c r="P54" s="388"/>
      <c r="Q54" s="388"/>
      <c r="R54" s="388"/>
      <c r="S54" s="388"/>
      <c r="T54" s="388"/>
      <c r="U54" s="388"/>
      <c r="V54" s="388"/>
      <c r="W54" s="388"/>
      <c r="X54" s="388"/>
      <c r="Y54" s="388"/>
      <c r="Z54" s="388"/>
      <c r="AA54" s="388"/>
      <c r="AB54" s="389"/>
    </row>
    <row r="55" spans="1:28" ht="12.6" customHeight="1">
      <c r="A55" s="1">
        <v>8</v>
      </c>
      <c r="B55" s="390" t="s">
        <v>549</v>
      </c>
      <c r="C55" s="346">
        <f>AVERAGE(D55:W55)</f>
        <v>274.29731247623045</v>
      </c>
      <c r="D55" s="924">
        <f>IF(D4&gt;'Project Assumptions'!$I$15+1,0,Depreciation!D51)</f>
        <v>349.86902101560014</v>
      </c>
      <c r="E55" s="924">
        <f>IF(E4&gt;'Project Assumptions'!$I$15+1,0,Depreciation!E51)</f>
        <v>349.86902101560014</v>
      </c>
      <c r="F55" s="924">
        <f>IF(F4&gt;'Project Assumptions'!$I$15+1,0,Depreciation!F51)</f>
        <v>349.86902101560014</v>
      </c>
      <c r="G55" s="924">
        <f>IF(G4&gt;'Project Assumptions'!$I$15+1,0,Depreciation!G51)</f>
        <v>349.86902101560014</v>
      </c>
      <c r="H55" s="924">
        <f>IF(H4&gt;'Project Assumptions'!$I$15+1,0,Depreciation!H51)</f>
        <v>349.86902101560014</v>
      </c>
      <c r="I55" s="924">
        <f>IF(I4&gt;'Project Assumptions'!$I$15+1,0,Depreciation!I51)</f>
        <v>307.88473849372815</v>
      </c>
      <c r="J55" s="924">
        <f>IF(J4&gt;'Project Assumptions'!$I$15+1,0,Depreciation!J51)</f>
        <v>307.88473849372815</v>
      </c>
      <c r="K55" s="924">
        <f>IF(K4&gt;'Project Assumptions'!$I$15+1,0,Depreciation!K51)</f>
        <v>307.88473849372815</v>
      </c>
      <c r="L55" s="924">
        <f>IF(L4&gt;'Project Assumptions'!$I$15+1,0,Depreciation!L51)</f>
        <v>307.88473849372815</v>
      </c>
      <c r="M55" s="924">
        <f>IF(M4&gt;'Project Assumptions'!$I$15+1,0,Depreciation!M51)</f>
        <v>265.9004559718561</v>
      </c>
      <c r="N55" s="924">
        <f>IF(N4&gt;'Project Assumptions'!$I$15+1,0,Depreciation!N51)</f>
        <v>265.9004559718561</v>
      </c>
      <c r="O55" s="924">
        <f>IF(O4&gt;'Project Assumptions'!$I$15+1,0,Depreciation!O51)</f>
        <v>265.9004559718561</v>
      </c>
      <c r="P55" s="924">
        <f>IF(P4&gt;'Project Assumptions'!$I$15+1,0,Depreciation!P51)</f>
        <v>265.9004559718561</v>
      </c>
      <c r="Q55" s="924">
        <f>IF(Q4&gt;'Project Assumptions'!$I$15+1,0,Depreciation!Q51)</f>
        <v>223.91617344998411</v>
      </c>
      <c r="R55" s="924">
        <f>IF(R4&gt;'Project Assumptions'!$I$15+1,0,Depreciation!R51)</f>
        <v>223.91617344998411</v>
      </c>
      <c r="S55" s="924">
        <f>IF(S4&gt;'Project Assumptions'!$I$15+1,0,Depreciation!S51)</f>
        <v>223.91617344998411</v>
      </c>
      <c r="T55" s="924">
        <f>IF(T4&gt;'Project Assumptions'!$I$15+1,0,Depreciation!T51)</f>
        <v>223.91617344998411</v>
      </c>
      <c r="U55" s="924">
        <f>IF(U4&gt;'Project Assumptions'!$I$15+1,0,Depreciation!U51)</f>
        <v>181.9318909281121</v>
      </c>
      <c r="V55" s="924">
        <f>IF(V4&gt;'Project Assumptions'!$I$15+1,0,Depreciation!V51)</f>
        <v>181.9318909281121</v>
      </c>
      <c r="W55" s="924">
        <f>IF(W4&gt;'Project Assumptions'!$I$15+1,0,Depreciation!W51)</f>
        <v>181.9318909281121</v>
      </c>
      <c r="X55" s="924">
        <f>IF(X4&gt;'Project Assumptions'!$I$15+1,0,Depreciation!X51)</f>
        <v>181.9318909281121</v>
      </c>
      <c r="Y55" s="924">
        <f>IF(Y4&gt;'Project Assumptions'!$I$15+1,0,Depreciation!Y51)</f>
        <v>0</v>
      </c>
      <c r="Z55" s="924">
        <f>IF(Z4&gt;'Project Assumptions'!$I$15+1,0,Depreciation!Z51)</f>
        <v>0</v>
      </c>
      <c r="AA55" s="924">
        <f>IF(AA4&gt;'Project Assumptions'!$I$15+1,0,Depreciation!AA51)</f>
        <v>0</v>
      </c>
      <c r="AB55" s="925">
        <f>IF(AB4&gt;'Project Assumptions'!$I$15+1,0,Depreciation!AB51)</f>
        <v>0</v>
      </c>
    </row>
    <row r="56" spans="1:28" ht="12.6" customHeight="1">
      <c r="B56" s="390"/>
      <c r="C56" s="346"/>
      <c r="D56" s="388"/>
      <c r="E56" s="388"/>
      <c r="F56" s="388"/>
      <c r="G56" s="388"/>
      <c r="H56" s="388"/>
      <c r="I56" s="388"/>
      <c r="J56" s="388"/>
      <c r="K56" s="388"/>
      <c r="L56" s="388"/>
      <c r="M56" s="388"/>
      <c r="N56" s="388"/>
      <c r="O56" s="388"/>
      <c r="P56" s="388"/>
      <c r="Q56" s="388"/>
      <c r="R56" s="388"/>
      <c r="S56" s="388"/>
      <c r="T56" s="388"/>
      <c r="U56" s="388"/>
      <c r="V56" s="388"/>
      <c r="W56" s="388"/>
      <c r="X56" s="388"/>
      <c r="Y56" s="388"/>
      <c r="Z56" s="388"/>
      <c r="AA56" s="388"/>
      <c r="AB56" s="389"/>
    </row>
    <row r="57" spans="1:28" ht="12.6" customHeight="1">
      <c r="B57" s="390" t="s">
        <v>492</v>
      </c>
      <c r="C57" s="346"/>
      <c r="D57" s="388"/>
      <c r="E57" s="388"/>
      <c r="F57" s="388"/>
      <c r="G57" s="388"/>
      <c r="H57" s="388"/>
      <c r="I57" s="388"/>
      <c r="J57" s="388"/>
      <c r="K57" s="388"/>
      <c r="L57" s="388"/>
      <c r="M57" s="388"/>
      <c r="N57" s="388"/>
      <c r="O57" s="388"/>
      <c r="P57" s="388"/>
      <c r="Q57" s="388"/>
      <c r="R57" s="388"/>
      <c r="S57" s="388"/>
      <c r="T57" s="388"/>
      <c r="U57" s="388"/>
      <c r="V57" s="388"/>
      <c r="W57" s="388"/>
      <c r="X57" s="388"/>
      <c r="Y57" s="388"/>
      <c r="Z57" s="388"/>
      <c r="AA57" s="388"/>
      <c r="AB57" s="389"/>
    </row>
    <row r="58" spans="1:28" ht="12.6" customHeight="1">
      <c r="A58" s="1">
        <v>8</v>
      </c>
      <c r="B58" s="359" t="s">
        <v>493</v>
      </c>
      <c r="C58" s="346"/>
      <c r="D58" s="360">
        <f>'Tax Calculations'!D11</f>
        <v>108.26304450000002</v>
      </c>
      <c r="E58" s="360">
        <f>'Tax Calculations'!E11</f>
        <v>72.175363000000019</v>
      </c>
      <c r="F58" s="360">
        <f>'Tax Calculations'!F11</f>
        <v>72.175363000000019</v>
      </c>
      <c r="G58" s="360">
        <f>'Tax Calculations'!G11</f>
        <v>72.175363000000019</v>
      </c>
      <c r="H58" s="360">
        <f>'Tax Calculations'!H11</f>
        <v>72.175363000000019</v>
      </c>
      <c r="I58" s="360">
        <f>'Tax Calculations'!I11</f>
        <v>72.175363000000019</v>
      </c>
      <c r="J58" s="360">
        <f>'Tax Calculations'!J11</f>
        <v>72.175363000000019</v>
      </c>
      <c r="K58" s="360">
        <f>'Tax Calculations'!K11</f>
        <v>72.175363000000019</v>
      </c>
      <c r="L58" s="360">
        <f>'Tax Calculations'!L11</f>
        <v>72.175363000000019</v>
      </c>
      <c r="M58" s="360">
        <f>'Tax Calculations'!M11</f>
        <v>72.175363000000019</v>
      </c>
      <c r="N58" s="360">
        <f>'Tax Calculations'!N11</f>
        <v>72.175363000000019</v>
      </c>
      <c r="O58" s="360">
        <f>'Tax Calculations'!O11</f>
        <v>72.175363000000019</v>
      </c>
      <c r="P58" s="360">
        <f>'Tax Calculations'!P11</f>
        <v>72.175363000000019</v>
      </c>
      <c r="Q58" s="360">
        <f>'Tax Calculations'!Q11</f>
        <v>72.175363000000019</v>
      </c>
      <c r="R58" s="360">
        <f>'Tax Calculations'!R11</f>
        <v>72.175363000000019</v>
      </c>
      <c r="S58" s="360">
        <f>'Tax Calculations'!S11</f>
        <v>72.175363000000019</v>
      </c>
      <c r="T58" s="360">
        <f>'Tax Calculations'!T11</f>
        <v>72.175363000000019</v>
      </c>
      <c r="U58" s="360">
        <f>'Tax Calculations'!U11</f>
        <v>72.175363000000019</v>
      </c>
      <c r="V58" s="360">
        <f>'Tax Calculations'!V11</f>
        <v>72.175363000000019</v>
      </c>
      <c r="W58" s="360">
        <f>'Tax Calculations'!W11</f>
        <v>72.175363000000019</v>
      </c>
      <c r="X58" s="360">
        <f>'Tax Calculations'!X11</f>
        <v>72.175363000000019</v>
      </c>
      <c r="Y58" s="360">
        <f>'Tax Calculations'!Y11</f>
        <v>0</v>
      </c>
      <c r="Z58" s="360">
        <f>'Tax Calculations'!Z11</f>
        <v>0</v>
      </c>
      <c r="AA58" s="360">
        <f>'Tax Calculations'!AA11</f>
        <v>0</v>
      </c>
      <c r="AB58" s="361">
        <f>'Tax Calculations'!AB11</f>
        <v>0</v>
      </c>
    </row>
    <row r="59" spans="1:28" ht="12.6" customHeight="1">
      <c r="A59" s="1">
        <v>8</v>
      </c>
      <c r="B59" s="359" t="s">
        <v>494</v>
      </c>
      <c r="C59" s="346"/>
      <c r="D59" s="388">
        <f>'Tax Calculations'!D17</f>
        <v>0</v>
      </c>
      <c r="E59" s="388">
        <f>'Tax Calculations'!E17</f>
        <v>0</v>
      </c>
      <c r="F59" s="388">
        <f>'Tax Calculations'!F17</f>
        <v>0</v>
      </c>
      <c r="G59" s="388">
        <f>'Tax Calculations'!G17</f>
        <v>0</v>
      </c>
      <c r="H59" s="388">
        <f>'Tax Calculations'!H17</f>
        <v>0</v>
      </c>
      <c r="I59" s="388">
        <f>'Tax Calculations'!I17</f>
        <v>0</v>
      </c>
      <c r="J59" s="388">
        <f>'Tax Calculations'!J17</f>
        <v>0</v>
      </c>
      <c r="K59" s="388">
        <f>'Tax Calculations'!K17</f>
        <v>0</v>
      </c>
      <c r="L59" s="388">
        <f>'Tax Calculations'!L17</f>
        <v>0</v>
      </c>
      <c r="M59" s="388">
        <f>'Tax Calculations'!M17</f>
        <v>0</v>
      </c>
      <c r="N59" s="388">
        <f>'Tax Calculations'!N17</f>
        <v>0</v>
      </c>
      <c r="O59" s="388">
        <f>'Tax Calculations'!O17</f>
        <v>0</v>
      </c>
      <c r="P59" s="388">
        <f>'Tax Calculations'!P17</f>
        <v>0</v>
      </c>
      <c r="Q59" s="388">
        <f>'Tax Calculations'!Q17</f>
        <v>0</v>
      </c>
      <c r="R59" s="388">
        <f>'Tax Calculations'!R17</f>
        <v>0</v>
      </c>
      <c r="S59" s="388">
        <f>'Tax Calculations'!S17</f>
        <v>0</v>
      </c>
      <c r="T59" s="388">
        <f>'Tax Calculations'!T17</f>
        <v>0</v>
      </c>
      <c r="U59" s="388">
        <f>'Tax Calculations'!U17</f>
        <v>0</v>
      </c>
      <c r="V59" s="388">
        <f>'Tax Calculations'!V17</f>
        <v>0</v>
      </c>
      <c r="W59" s="388">
        <f>'Tax Calculations'!W17</f>
        <v>0</v>
      </c>
      <c r="X59" s="388">
        <f>'Tax Calculations'!X17</f>
        <v>0</v>
      </c>
      <c r="Y59" s="388">
        <f>'Tax Calculations'!Y17</f>
        <v>0</v>
      </c>
      <c r="Z59" s="388">
        <f>'Tax Calculations'!Z17</f>
        <v>0</v>
      </c>
      <c r="AA59" s="388">
        <f>'Tax Calculations'!AA17</f>
        <v>0</v>
      </c>
      <c r="AB59" s="389">
        <f>'Tax Calculations'!AB17</f>
        <v>0</v>
      </c>
    </row>
    <row r="60" spans="1:28" ht="12.6" customHeight="1">
      <c r="B60" s="390" t="s">
        <v>495</v>
      </c>
      <c r="C60" s="346"/>
      <c r="D60" s="950">
        <f>SUM(D58:D59)</f>
        <v>108.26304450000002</v>
      </c>
      <c r="E60" s="950">
        <f t="shared" ref="E60:AB60" si="9">SUM(E58:E59)</f>
        <v>72.175363000000019</v>
      </c>
      <c r="F60" s="950">
        <f t="shared" si="9"/>
        <v>72.175363000000019</v>
      </c>
      <c r="G60" s="950">
        <f t="shared" si="9"/>
        <v>72.175363000000019</v>
      </c>
      <c r="H60" s="950">
        <f t="shared" si="9"/>
        <v>72.175363000000019</v>
      </c>
      <c r="I60" s="950">
        <f t="shared" si="9"/>
        <v>72.175363000000019</v>
      </c>
      <c r="J60" s="950">
        <f t="shared" si="9"/>
        <v>72.175363000000019</v>
      </c>
      <c r="K60" s="950">
        <f t="shared" si="9"/>
        <v>72.175363000000019</v>
      </c>
      <c r="L60" s="950">
        <f t="shared" si="9"/>
        <v>72.175363000000019</v>
      </c>
      <c r="M60" s="950">
        <f t="shared" si="9"/>
        <v>72.175363000000019</v>
      </c>
      <c r="N60" s="950">
        <f t="shared" si="9"/>
        <v>72.175363000000019</v>
      </c>
      <c r="O60" s="950">
        <f t="shared" si="9"/>
        <v>72.175363000000019</v>
      </c>
      <c r="P60" s="950">
        <f t="shared" si="9"/>
        <v>72.175363000000019</v>
      </c>
      <c r="Q60" s="950">
        <f t="shared" si="9"/>
        <v>72.175363000000019</v>
      </c>
      <c r="R60" s="950">
        <f t="shared" si="9"/>
        <v>72.175363000000019</v>
      </c>
      <c r="S60" s="950">
        <f t="shared" si="9"/>
        <v>72.175363000000019</v>
      </c>
      <c r="T60" s="950">
        <f t="shared" si="9"/>
        <v>72.175363000000019</v>
      </c>
      <c r="U60" s="950">
        <f t="shared" si="9"/>
        <v>72.175363000000019</v>
      </c>
      <c r="V60" s="950">
        <f t="shared" si="9"/>
        <v>72.175363000000019</v>
      </c>
      <c r="W60" s="950">
        <f t="shared" si="9"/>
        <v>72.175363000000019</v>
      </c>
      <c r="X60" s="950">
        <f t="shared" si="9"/>
        <v>72.175363000000019</v>
      </c>
      <c r="Y60" s="950">
        <f t="shared" si="9"/>
        <v>0</v>
      </c>
      <c r="Z60" s="950">
        <f t="shared" si="9"/>
        <v>0</v>
      </c>
      <c r="AA60" s="950">
        <f t="shared" si="9"/>
        <v>0</v>
      </c>
      <c r="AB60" s="951">
        <f t="shared" si="9"/>
        <v>0</v>
      </c>
    </row>
    <row r="61" spans="1:28" ht="12.6" customHeight="1">
      <c r="B61" s="359"/>
      <c r="C61" s="346"/>
      <c r="D61" s="388"/>
      <c r="E61" s="388"/>
      <c r="F61" s="388"/>
      <c r="G61" s="388"/>
      <c r="H61" s="388"/>
      <c r="I61" s="388"/>
      <c r="J61" s="388"/>
      <c r="K61" s="388"/>
      <c r="L61" s="388"/>
      <c r="M61" s="388"/>
      <c r="N61" s="388"/>
      <c r="O61" s="388"/>
      <c r="P61" s="388"/>
      <c r="Q61" s="388"/>
      <c r="R61" s="388"/>
      <c r="S61" s="388"/>
      <c r="T61" s="388"/>
      <c r="U61" s="388"/>
      <c r="V61" s="388"/>
      <c r="W61" s="388"/>
      <c r="X61" s="388"/>
      <c r="Y61" s="388"/>
      <c r="Z61" s="388"/>
      <c r="AA61" s="388"/>
      <c r="AB61" s="389"/>
    </row>
    <row r="62" spans="1:28" ht="17.25" customHeight="1">
      <c r="B62" s="370" t="s">
        <v>445</v>
      </c>
      <c r="C62" s="371"/>
      <c r="D62" s="952">
        <f>D31+D36+D44+D53+D55+D60</f>
        <v>26210.086189737056</v>
      </c>
      <c r="E62" s="952">
        <f t="shared" ref="E62:AB62" si="10">E31+E36+E44+E53+E55+E60</f>
        <v>27281.294114783763</v>
      </c>
      <c r="F62" s="952">
        <f t="shared" si="10"/>
        <v>27431.909046706816</v>
      </c>
      <c r="G62" s="952">
        <f t="shared" si="10"/>
        <v>28988.868818051742</v>
      </c>
      <c r="H62" s="952">
        <f t="shared" si="10"/>
        <v>29966.293266439301</v>
      </c>
      <c r="I62" s="952">
        <f t="shared" si="10"/>
        <v>30107.433664650143</v>
      </c>
      <c r="J62" s="952">
        <f t="shared" si="10"/>
        <v>30296.052085804833</v>
      </c>
      <c r="K62" s="952">
        <f t="shared" si="10"/>
        <v>30490.329059594165</v>
      </c>
      <c r="L62" s="952">
        <f t="shared" si="10"/>
        <v>30690.434342597182</v>
      </c>
      <c r="M62" s="952">
        <f t="shared" si="10"/>
        <v>30854.558501568412</v>
      </c>
      <c r="N62" s="952">
        <f t="shared" si="10"/>
        <v>31066.850196306306</v>
      </c>
      <c r="O62" s="952">
        <f t="shared" si="10"/>
        <v>31285.51064188634</v>
      </c>
      <c r="P62" s="952">
        <f t="shared" si="10"/>
        <v>31510.730900833772</v>
      </c>
      <c r="Q62" s="952">
        <f t="shared" si="10"/>
        <v>31700.72348502776</v>
      </c>
      <c r="R62" s="952">
        <f t="shared" si="10"/>
        <v>31939.659657745091</v>
      </c>
      <c r="S62" s="952">
        <f t="shared" si="10"/>
        <v>32185.763915643944</v>
      </c>
      <c r="T62" s="952">
        <f t="shared" si="10"/>
        <v>32439.251301279761</v>
      </c>
      <c r="U62" s="952">
        <f t="shared" si="10"/>
        <v>32658.359025962785</v>
      </c>
      <c r="V62" s="952">
        <f t="shared" si="10"/>
        <v>32927.283793383831</v>
      </c>
      <c r="W62" s="952">
        <f t="shared" si="10"/>
        <v>33204.276303827501</v>
      </c>
      <c r="X62" s="952">
        <f t="shared" si="10"/>
        <v>16244.427660036063</v>
      </c>
      <c r="Y62" s="952">
        <f t="shared" si="10"/>
        <v>0</v>
      </c>
      <c r="Z62" s="952">
        <f t="shared" si="10"/>
        <v>0</v>
      </c>
      <c r="AA62" s="952">
        <f t="shared" si="10"/>
        <v>0</v>
      </c>
      <c r="AB62" s="952">
        <f t="shared" si="10"/>
        <v>0</v>
      </c>
    </row>
    <row r="63" spans="1:28" ht="12.6" customHeight="1" thickBot="1">
      <c r="B63" s="391"/>
      <c r="C63" s="375"/>
      <c r="D63" s="392"/>
      <c r="E63" s="392"/>
      <c r="F63" s="392"/>
      <c r="G63" s="392"/>
      <c r="H63" s="392"/>
      <c r="I63" s="392"/>
      <c r="J63" s="392"/>
      <c r="K63" s="392"/>
      <c r="L63" s="392"/>
      <c r="M63" s="392"/>
      <c r="N63" s="392"/>
      <c r="O63" s="392"/>
      <c r="P63" s="392"/>
      <c r="Q63" s="392"/>
      <c r="R63" s="392"/>
      <c r="S63" s="392"/>
      <c r="T63" s="392"/>
      <c r="U63" s="392"/>
      <c r="V63" s="392"/>
      <c r="W63" s="392"/>
      <c r="X63" s="392"/>
      <c r="Y63" s="392"/>
      <c r="Z63" s="392"/>
      <c r="AA63" s="392"/>
      <c r="AB63" s="392"/>
    </row>
    <row r="64" spans="1:28" ht="12.6" customHeight="1">
      <c r="B64" s="393"/>
      <c r="D64" s="394"/>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row>
    <row r="65" spans="1:29" ht="12.6" customHeight="1">
      <c r="B65" s="355" t="s">
        <v>2</v>
      </c>
      <c r="C65" s="343"/>
      <c r="D65" s="395">
        <f t="shared" ref="D65:AB65" si="11">D18-D62</f>
        <v>15154.041410262944</v>
      </c>
      <c r="E65" s="395">
        <f t="shared" si="11"/>
        <v>26317.874753216238</v>
      </c>
      <c r="F65" s="395">
        <f t="shared" si="11"/>
        <v>26244.552327333178</v>
      </c>
      <c r="G65" s="395">
        <f t="shared" si="11"/>
        <v>36154.232621668074</v>
      </c>
      <c r="H65" s="395">
        <f t="shared" si="11"/>
        <v>43840.396018615051</v>
      </c>
      <c r="I65" s="395">
        <f t="shared" si="11"/>
        <v>45209.78365417583</v>
      </c>
      <c r="J65" s="395">
        <f t="shared" si="11"/>
        <v>44956.73325543182</v>
      </c>
      <c r="K65" s="395">
        <f t="shared" si="11"/>
        <v>45481.925133126919</v>
      </c>
      <c r="L65" s="395">
        <f t="shared" si="11"/>
        <v>45997.839505233693</v>
      </c>
      <c r="M65" s="395">
        <f t="shared" si="11"/>
        <v>46545.431331248787</v>
      </c>
      <c r="N65" s="395">
        <f t="shared" si="11"/>
        <v>47039.649313476752</v>
      </c>
      <c r="O65" s="395">
        <f t="shared" si="11"/>
        <v>47521.339313974386</v>
      </c>
      <c r="P65" s="395">
        <f t="shared" si="11"/>
        <v>47989.304857653871</v>
      </c>
      <c r="Q65" s="395">
        <f t="shared" si="11"/>
        <v>48484.273238627575</v>
      </c>
      <c r="R65" s="395">
        <f t="shared" si="11"/>
        <v>48920.955836148736</v>
      </c>
      <c r="S65" s="395">
        <f t="shared" si="11"/>
        <v>49339.951156994808</v>
      </c>
      <c r="T65" s="395">
        <f t="shared" si="11"/>
        <v>49739.804950227466</v>
      </c>
      <c r="U65" s="395">
        <f t="shared" si="11"/>
        <v>50160.975910923094</v>
      </c>
      <c r="V65" s="395">
        <f t="shared" si="11"/>
        <v>50517.895578720461</v>
      </c>
      <c r="W65" s="395">
        <f t="shared" si="11"/>
        <v>49661.15609035705</v>
      </c>
      <c r="X65" s="395">
        <f t="shared" si="11"/>
        <v>19281.874712566372</v>
      </c>
      <c r="Y65" s="395">
        <f t="shared" si="11"/>
        <v>0</v>
      </c>
      <c r="Z65" s="395">
        <f t="shared" si="11"/>
        <v>0</v>
      </c>
      <c r="AA65" s="395">
        <f t="shared" si="11"/>
        <v>0</v>
      </c>
      <c r="AB65" s="396">
        <f t="shared" si="11"/>
        <v>0</v>
      </c>
    </row>
    <row r="66" spans="1:29" ht="12.6" customHeight="1">
      <c r="B66" s="359"/>
      <c r="C66" s="346"/>
      <c r="D66" s="363"/>
      <c r="E66" s="363"/>
      <c r="F66" s="363"/>
      <c r="G66" s="363"/>
      <c r="H66" s="363"/>
      <c r="I66" s="363"/>
      <c r="J66" s="363"/>
      <c r="K66" s="363"/>
      <c r="L66" s="363"/>
      <c r="M66" s="363"/>
      <c r="N66" s="363"/>
      <c r="O66" s="363"/>
      <c r="P66" s="363"/>
      <c r="Q66" s="363"/>
      <c r="R66" s="363"/>
      <c r="S66" s="363"/>
      <c r="T66" s="363"/>
      <c r="U66" s="363"/>
      <c r="V66" s="363"/>
      <c r="W66" s="363"/>
      <c r="X66" s="363"/>
      <c r="Y66" s="363"/>
      <c r="Z66" s="363"/>
      <c r="AA66" s="363"/>
      <c r="AB66" s="397"/>
    </row>
    <row r="67" spans="1:29" ht="12.6" customHeight="1">
      <c r="A67" s="1">
        <v>11</v>
      </c>
      <c r="B67" s="359" t="s">
        <v>83</v>
      </c>
      <c r="C67" s="346"/>
      <c r="D67" s="364">
        <f>Depreciation!D40</f>
        <v>4574.7769783333342</v>
      </c>
      <c r="E67" s="364">
        <f>IF(E4&gt;'Project Assumptions'!$I$15+1,0,Depreciation!E40)</f>
        <v>7842.4748200000013</v>
      </c>
      <c r="F67" s="364">
        <f>IF(F4&gt;'Project Assumptions'!$I$15+1,0,Depreciation!F40)</f>
        <v>7842.4748200000013</v>
      </c>
      <c r="G67" s="364">
        <f>IF(G4&gt;'Project Assumptions'!$I$15+1,0,Depreciation!G40)</f>
        <v>7842.4748200000013</v>
      </c>
      <c r="H67" s="364">
        <f>IF(H4&gt;'Project Assumptions'!$I$15+1,0,Depreciation!H40)</f>
        <v>7842.4748200000013</v>
      </c>
      <c r="I67" s="364">
        <f>IF(I4&gt;'Project Assumptions'!$I$15+1,0,Depreciation!I40)</f>
        <v>7662.3425366666679</v>
      </c>
      <c r="J67" s="364">
        <f>IF(J4&gt;'Project Assumptions'!$I$15+1,0,Depreciation!J40)</f>
        <v>7533.6766200000011</v>
      </c>
      <c r="K67" s="364">
        <f>IF(K4&gt;'Project Assumptions'!$I$15+1,0,Depreciation!K40)</f>
        <v>7533.6766200000011</v>
      </c>
      <c r="L67" s="364">
        <f>IF(L4&gt;'Project Assumptions'!$I$15+1,0,Depreciation!L40)</f>
        <v>7533.6766200000011</v>
      </c>
      <c r="M67" s="364">
        <f>IF(M4&gt;'Project Assumptions'!$I$15+1,0,Depreciation!M40)</f>
        <v>7533.6766200000011</v>
      </c>
      <c r="N67" s="364">
        <f>IF(N4&gt;'Project Assumptions'!$I$15+1,0,Depreciation!N40)</f>
        <v>7533.6766200000011</v>
      </c>
      <c r="O67" s="364">
        <f>IF(O4&gt;'Project Assumptions'!$I$15+1,0,Depreciation!O40)</f>
        <v>7533.6766200000011</v>
      </c>
      <c r="P67" s="364">
        <f>IF(P4&gt;'Project Assumptions'!$I$15+1,0,Depreciation!P40)</f>
        <v>7533.6766200000011</v>
      </c>
      <c r="Q67" s="364">
        <f>IF(Q4&gt;'Project Assumptions'!$I$15+1,0,Depreciation!Q40)</f>
        <v>7533.6766200000011</v>
      </c>
      <c r="R67" s="364">
        <f>IF(R4&gt;'Project Assumptions'!$I$15+1,0,Depreciation!R40)</f>
        <v>7533.6766200000011</v>
      </c>
      <c r="S67" s="364">
        <f>IF(S4&gt;'Project Assumptions'!$I$15+1,0,Depreciation!S40)</f>
        <v>7533.6766200000011</v>
      </c>
      <c r="T67" s="364">
        <f>IF(T4&gt;'Project Assumptions'!$I$15+1,0,Depreciation!T40)</f>
        <v>7533.6766200000011</v>
      </c>
      <c r="U67" s="364">
        <f>IF(U4&gt;'Project Assumptions'!$I$15+1,0,Depreciation!U40)</f>
        <v>7533.6766200000011</v>
      </c>
      <c r="V67" s="364">
        <f>IF(V4&gt;'Project Assumptions'!$I$15+1,0,Depreciation!V40)</f>
        <v>7533.6766200000011</v>
      </c>
      <c r="W67" s="364">
        <f>IF(W4&gt;'Project Assumptions'!$I$15+1,0,Depreciation!W40)</f>
        <v>7533.6766200000011</v>
      </c>
      <c r="X67" s="364">
        <f>IF(X4&gt;'Project Assumptions'!$I$15+1,0,Depreciation!X40)</f>
        <v>7533.6766200000011</v>
      </c>
      <c r="Y67" s="364">
        <f>IF(Y4&gt;'Project Assumptions'!$I$15+1,0,Depreciation!Y40)</f>
        <v>0</v>
      </c>
      <c r="Z67" s="364">
        <f>IF(Z4&gt;'Project Assumptions'!$I$15+1,0,Depreciation!Z40)</f>
        <v>0</v>
      </c>
      <c r="AA67" s="364">
        <f>IF(AA4&gt;'Project Assumptions'!$I$15+1,0,Depreciation!AA40)</f>
        <v>0</v>
      </c>
      <c r="AB67" s="365">
        <f>IF(AB4&gt;'Project Assumptions'!$I$15+1,0,Depreciation!AB40)</f>
        <v>0</v>
      </c>
    </row>
    <row r="68" spans="1:29" ht="12.6" customHeight="1">
      <c r="B68" s="359" t="s">
        <v>674</v>
      </c>
      <c r="C68" s="346"/>
      <c r="D68" s="1036">
        <f>'Project Assumptions'!C37+'Project Assumptions'!C40</f>
        <v>576.42599999999993</v>
      </c>
      <c r="E68" s="398">
        <v>0</v>
      </c>
      <c r="F68" s="398">
        <v>0</v>
      </c>
      <c r="G68" s="398">
        <v>0</v>
      </c>
      <c r="H68" s="398">
        <v>0</v>
      </c>
      <c r="I68" s="398">
        <v>0</v>
      </c>
      <c r="J68" s="398">
        <v>0</v>
      </c>
      <c r="K68" s="398">
        <v>0</v>
      </c>
      <c r="L68" s="398">
        <v>0</v>
      </c>
      <c r="M68" s="398">
        <v>0</v>
      </c>
      <c r="N68" s="398">
        <v>0</v>
      </c>
      <c r="O68" s="398">
        <v>0</v>
      </c>
      <c r="P68" s="398">
        <v>0</v>
      </c>
      <c r="Q68" s="398">
        <v>0</v>
      </c>
      <c r="R68" s="398">
        <v>0</v>
      </c>
      <c r="S68" s="398">
        <v>0</v>
      </c>
      <c r="T68" s="398">
        <v>0</v>
      </c>
      <c r="U68" s="398">
        <v>0</v>
      </c>
      <c r="V68" s="398">
        <v>0</v>
      </c>
      <c r="W68" s="398">
        <v>0</v>
      </c>
      <c r="X68" s="398">
        <v>0</v>
      </c>
      <c r="Y68" s="398">
        <v>0</v>
      </c>
      <c r="Z68" s="398">
        <v>0</v>
      </c>
      <c r="AA68" s="398">
        <v>0</v>
      </c>
      <c r="AB68" s="398">
        <v>0</v>
      </c>
    </row>
    <row r="69" spans="1:29" ht="12.6" customHeight="1">
      <c r="B69" s="390" t="s">
        <v>3</v>
      </c>
      <c r="C69" s="346"/>
      <c r="D69" s="364">
        <f>D65-D67-D68</f>
        <v>10002.838431929609</v>
      </c>
      <c r="E69" s="364">
        <f>IF(E4&gt;'Project Assumptions'!$I$15+1,0,E65-E67)</f>
        <v>18475.399933216235</v>
      </c>
      <c r="F69" s="364">
        <f>IF(F4&gt;'Project Assumptions'!$I$15+1,0,F65-F67)</f>
        <v>18402.077507333175</v>
      </c>
      <c r="G69" s="364">
        <f>IF(G4&gt;'Project Assumptions'!$I$15+1,0,G65-G67)</f>
        <v>28311.757801668071</v>
      </c>
      <c r="H69" s="364">
        <f>IF(H4&gt;'Project Assumptions'!$I$15+1,0,H65-H67)</f>
        <v>35997.921198615048</v>
      </c>
      <c r="I69" s="364">
        <f>IF(I4&gt;'Project Assumptions'!$I$15+1,0,I65-I67)</f>
        <v>37547.441117509159</v>
      </c>
      <c r="J69" s="364">
        <f>IF(J4&gt;'Project Assumptions'!$I$15+1,0,J65-J67)</f>
        <v>37423.056635431822</v>
      </c>
      <c r="K69" s="364">
        <f>IF(K4&gt;'Project Assumptions'!$I$15+1,0,K65-K67)</f>
        <v>37948.24851312692</v>
      </c>
      <c r="L69" s="364">
        <f>IF(L4&gt;'Project Assumptions'!$I$15+1,0,L65-L67)</f>
        <v>38464.162885233694</v>
      </c>
      <c r="M69" s="364">
        <f>IF(M4&gt;'Project Assumptions'!$I$15+1,0,M65-M67)</f>
        <v>39011.754711248788</v>
      </c>
      <c r="N69" s="364">
        <f>IF(N4&gt;'Project Assumptions'!$I$15+1,0,N65-N67)</f>
        <v>39505.972693476753</v>
      </c>
      <c r="O69" s="364">
        <f>IF(O4&gt;'Project Assumptions'!$I$15+1,0,O65-O67)</f>
        <v>39987.662693974387</v>
      </c>
      <c r="P69" s="364">
        <f>IF(P4&gt;'Project Assumptions'!$I$15+1,0,P65-P67)</f>
        <v>40455.628237653873</v>
      </c>
      <c r="Q69" s="364">
        <f>IF(Q4&gt;'Project Assumptions'!$I$15+1,0,Q65-Q67)</f>
        <v>40950.596618627576</v>
      </c>
      <c r="R69" s="364">
        <f>IF(R4&gt;'Project Assumptions'!$I$15+1,0,R65-R67)</f>
        <v>41387.279216148738</v>
      </c>
      <c r="S69" s="364">
        <f>IF(S4&gt;'Project Assumptions'!$I$15+1,0,S65-S67)</f>
        <v>41806.27453699481</v>
      </c>
      <c r="T69" s="364">
        <f>IF(T4&gt;'Project Assumptions'!$I$15+1,0,T65-T67)</f>
        <v>42206.128330227468</v>
      </c>
      <c r="U69" s="364">
        <f>IF(U4&gt;'Project Assumptions'!$I$15+1,0,U65-U67)</f>
        <v>42627.299290923096</v>
      </c>
      <c r="V69" s="364">
        <f>IF(V4&gt;'Project Assumptions'!$I$15+1,0,V65-V67)</f>
        <v>42984.218958720463</v>
      </c>
      <c r="W69" s="364">
        <f>IF(W4&gt;'Project Assumptions'!$I$15+1,0,W65-W67)</f>
        <v>42127.479470357051</v>
      </c>
      <c r="X69" s="364">
        <f>IF(X4&gt;'Project Assumptions'!$I$15+1,0,X65-X67)</f>
        <v>11748.19809256637</v>
      </c>
      <c r="Y69" s="364">
        <f>IF(Y4&gt;'Project Assumptions'!$I$15+1,0,Y65-Y67)</f>
        <v>0</v>
      </c>
      <c r="Z69" s="364">
        <f>IF(Z4&gt;'Project Assumptions'!$I$15+1,0,Z65-Z67)</f>
        <v>0</v>
      </c>
      <c r="AA69" s="364">
        <f>IF(AA4&gt;'Project Assumptions'!$I$15+1,0,AA65-AA67)</f>
        <v>0</v>
      </c>
      <c r="AB69" s="365">
        <f>IF(AB4&gt;'Project Assumptions'!$I$15+1,0,AB65-AB67)</f>
        <v>0</v>
      </c>
    </row>
    <row r="70" spans="1:29" ht="12.6" customHeight="1">
      <c r="B70" s="382"/>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84"/>
    </row>
    <row r="71" spans="1:29" ht="12.6" customHeight="1">
      <c r="B71" s="359" t="s">
        <v>84</v>
      </c>
      <c r="C71" s="346"/>
      <c r="D71" s="364">
        <f>'Debt Amortization'!E$52</f>
        <v>14192.0851</v>
      </c>
      <c r="E71" s="364">
        <f>'Debt Amortization'!F$52</f>
        <v>13694.519375</v>
      </c>
      <c r="F71" s="364">
        <f>'Debt Amortization'!G$52</f>
        <v>13196.953649999999</v>
      </c>
      <c r="G71" s="364">
        <f>'Debt Amortization'!H$52</f>
        <v>12493.446075</v>
      </c>
      <c r="H71" s="364">
        <f>'Debt Amortization'!I$52</f>
        <v>11583.996650000001</v>
      </c>
      <c r="I71" s="364">
        <f>'Debt Amortization'!J$52</f>
        <v>11010.453245999999</v>
      </c>
      <c r="J71" s="364">
        <f>'Debt Amortization'!K$52</f>
        <v>10436.909842000001</v>
      </c>
      <c r="K71" s="364">
        <f>'Debt Amortization'!L$52</f>
        <v>9782.5365860000002</v>
      </c>
      <c r="L71" s="364">
        <f>'Debt Amortization'!M$52</f>
        <v>9128.1633300000012</v>
      </c>
      <c r="M71" s="364">
        <f>'Debt Amortization'!N$52</f>
        <v>8061.9063740000001</v>
      </c>
      <c r="N71" s="364">
        <f>'Debt Amortization'!O$52</f>
        <v>6708.8777160000009</v>
      </c>
      <c r="O71" s="364">
        <f>'Debt Amortization'!P$52</f>
        <v>6385.5583080000006</v>
      </c>
      <c r="P71" s="364">
        <f>'Debt Amortization'!Q$52</f>
        <v>5981.4090480000013</v>
      </c>
      <c r="Q71" s="364">
        <f>'Debt Amortization'!R$52</f>
        <v>5577.2597880000012</v>
      </c>
      <c r="R71" s="364">
        <f>'Debt Amortization'!S$52</f>
        <v>5173.110528000002</v>
      </c>
      <c r="S71" s="364">
        <f>'Debt Amortization'!T$52</f>
        <v>4768.9612680000018</v>
      </c>
      <c r="T71" s="364">
        <f>'Debt Amortization'!U$52</f>
        <v>4364.8120080000017</v>
      </c>
      <c r="U71" s="364">
        <f>'Debt Amortization'!V$52</f>
        <v>3556.5134880000019</v>
      </c>
      <c r="V71" s="364">
        <f>'Debt Amortization'!W$52</f>
        <v>2586.5552640000019</v>
      </c>
      <c r="W71" s="364">
        <f>'Debt Amortization'!X$52</f>
        <v>1374.1074840000022</v>
      </c>
      <c r="X71" s="364">
        <f>'Debt Amortization'!Y$52</f>
        <v>0</v>
      </c>
      <c r="Y71" s="364">
        <f>'Debt Amortization'!Z$52</f>
        <v>0</v>
      </c>
      <c r="Z71" s="364">
        <f>'Debt Amortization'!AA$52</f>
        <v>0</v>
      </c>
      <c r="AA71" s="364">
        <f>'Debt Amortization'!AB$52</f>
        <v>0</v>
      </c>
      <c r="AB71" s="364">
        <f>'Debt Amortization'!AC$52</f>
        <v>0</v>
      </c>
      <c r="AC71" s="353"/>
    </row>
    <row r="72" spans="1:29" ht="12.6" customHeight="1">
      <c r="A72" s="1">
        <v>10</v>
      </c>
      <c r="B72" s="359" t="s">
        <v>85</v>
      </c>
      <c r="C72" s="346"/>
      <c r="D72" s="360">
        <f>0.05*0.25*D65</f>
        <v>189.4255176282868</v>
      </c>
      <c r="E72" s="360">
        <f t="shared" ref="E72:AB72" si="12">0.05*0.25*E65</f>
        <v>328.97343441520297</v>
      </c>
      <c r="F72" s="360">
        <f t="shared" si="12"/>
        <v>328.05690409166476</v>
      </c>
      <c r="G72" s="360">
        <f t="shared" si="12"/>
        <v>451.92790777085094</v>
      </c>
      <c r="H72" s="360">
        <f t="shared" si="12"/>
        <v>548.0049502326882</v>
      </c>
      <c r="I72" s="360">
        <f t="shared" si="12"/>
        <v>565.12229567719794</v>
      </c>
      <c r="J72" s="360">
        <f t="shared" si="12"/>
        <v>561.95916569289773</v>
      </c>
      <c r="K72" s="360">
        <f t="shared" si="12"/>
        <v>568.52406416408655</v>
      </c>
      <c r="L72" s="360">
        <f t="shared" si="12"/>
        <v>574.9729938154212</v>
      </c>
      <c r="M72" s="360">
        <f t="shared" si="12"/>
        <v>581.8178916406099</v>
      </c>
      <c r="N72" s="360">
        <f t="shared" si="12"/>
        <v>587.99561641845946</v>
      </c>
      <c r="O72" s="360">
        <f t="shared" si="12"/>
        <v>594.01674142467982</v>
      </c>
      <c r="P72" s="360">
        <f t="shared" si="12"/>
        <v>599.86631072067337</v>
      </c>
      <c r="Q72" s="360">
        <f t="shared" si="12"/>
        <v>606.05341548284468</v>
      </c>
      <c r="R72" s="360">
        <f t="shared" si="12"/>
        <v>611.51194795185927</v>
      </c>
      <c r="S72" s="360">
        <f t="shared" si="12"/>
        <v>616.74938946243515</v>
      </c>
      <c r="T72" s="360">
        <f t="shared" si="12"/>
        <v>621.7475618778434</v>
      </c>
      <c r="U72" s="360">
        <f t="shared" si="12"/>
        <v>627.01219888653873</v>
      </c>
      <c r="V72" s="360">
        <f t="shared" si="12"/>
        <v>631.47369473400579</v>
      </c>
      <c r="W72" s="360">
        <f t="shared" si="12"/>
        <v>620.76445112946317</v>
      </c>
      <c r="X72" s="360">
        <f t="shared" si="12"/>
        <v>241.02343390707966</v>
      </c>
      <c r="Y72" s="360">
        <f t="shared" si="12"/>
        <v>0</v>
      </c>
      <c r="Z72" s="360">
        <f t="shared" si="12"/>
        <v>0</v>
      </c>
      <c r="AA72" s="360">
        <f t="shared" si="12"/>
        <v>0</v>
      </c>
      <c r="AB72" s="361">
        <f t="shared" si="12"/>
        <v>0</v>
      </c>
    </row>
    <row r="73" spans="1:29" ht="12.6" customHeight="1">
      <c r="B73" s="359" t="s">
        <v>86</v>
      </c>
      <c r="C73" s="346"/>
      <c r="D73" s="388">
        <f>D71-D72</f>
        <v>14002.659582371714</v>
      </c>
      <c r="E73" s="388">
        <f t="shared" ref="E73:AB73" si="13">E71-E72</f>
        <v>13365.545940584798</v>
      </c>
      <c r="F73" s="388">
        <f t="shared" si="13"/>
        <v>12868.896745908334</v>
      </c>
      <c r="G73" s="388">
        <f t="shared" si="13"/>
        <v>12041.518167229149</v>
      </c>
      <c r="H73" s="388">
        <f t="shared" si="13"/>
        <v>11035.991699767314</v>
      </c>
      <c r="I73" s="388">
        <f t="shared" si="13"/>
        <v>10445.330950322801</v>
      </c>
      <c r="J73" s="388">
        <f t="shared" si="13"/>
        <v>9874.950676307104</v>
      </c>
      <c r="K73" s="388">
        <f t="shared" si="13"/>
        <v>9214.0125218359135</v>
      </c>
      <c r="L73" s="388">
        <f t="shared" si="13"/>
        <v>8553.1903361845798</v>
      </c>
      <c r="M73" s="388">
        <f t="shared" si="13"/>
        <v>7480.0884823593906</v>
      </c>
      <c r="N73" s="388">
        <f t="shared" si="13"/>
        <v>6120.8820995815413</v>
      </c>
      <c r="O73" s="388">
        <f t="shared" si="13"/>
        <v>5791.5415665753208</v>
      </c>
      <c r="P73" s="388">
        <f t="shared" si="13"/>
        <v>5381.5427372793283</v>
      </c>
      <c r="Q73" s="388">
        <f t="shared" si="13"/>
        <v>4971.2063725171565</v>
      </c>
      <c r="R73" s="388">
        <f t="shared" si="13"/>
        <v>4561.598580048143</v>
      </c>
      <c r="S73" s="388">
        <f t="shared" si="13"/>
        <v>4152.2118785375669</v>
      </c>
      <c r="T73" s="388">
        <f t="shared" si="13"/>
        <v>3743.0644461221582</v>
      </c>
      <c r="U73" s="388">
        <f t="shared" si="13"/>
        <v>2929.5012891134629</v>
      </c>
      <c r="V73" s="388">
        <f t="shared" si="13"/>
        <v>1955.0815692659962</v>
      </c>
      <c r="W73" s="388">
        <f t="shared" si="13"/>
        <v>753.34303287053899</v>
      </c>
      <c r="X73" s="388">
        <f t="shared" si="13"/>
        <v>-241.02343390707966</v>
      </c>
      <c r="Y73" s="388">
        <f t="shared" si="13"/>
        <v>0</v>
      </c>
      <c r="Z73" s="388">
        <f t="shared" si="13"/>
        <v>0</v>
      </c>
      <c r="AA73" s="388">
        <f t="shared" si="13"/>
        <v>0</v>
      </c>
      <c r="AB73" s="389">
        <f t="shared" si="13"/>
        <v>0</v>
      </c>
    </row>
    <row r="74" spans="1:29" ht="12.6" customHeight="1">
      <c r="B74" s="390" t="s">
        <v>4</v>
      </c>
      <c r="C74" s="346"/>
      <c r="D74" s="364">
        <f>D69-D73</f>
        <v>-3999.8211504421051</v>
      </c>
      <c r="E74" s="364">
        <f>IF(E4&gt;'Project Assumptions'!$I$15+1,0,E69-E73)</f>
        <v>5109.853992631437</v>
      </c>
      <c r="F74" s="364">
        <f>IF(F4&gt;'Project Assumptions'!$I$15+1,0,F69-F73)</f>
        <v>5533.180761424841</v>
      </c>
      <c r="G74" s="364">
        <f>IF(G4&gt;'Project Assumptions'!$I$15+1,0,G69-G73)</f>
        <v>16270.239634438922</v>
      </c>
      <c r="H74" s="364">
        <f>IF(H4&gt;'Project Assumptions'!$I$15+1,0,H69-H73)</f>
        <v>24961.929498847734</v>
      </c>
      <c r="I74" s="364">
        <f>IF(I4&gt;'Project Assumptions'!$I$15+1,0,I69-I73)</f>
        <v>27102.110167186358</v>
      </c>
      <c r="J74" s="364">
        <f>IF(J4&gt;'Project Assumptions'!$I$15+1,0,J69-J73)</f>
        <v>27548.105959124718</v>
      </c>
      <c r="K74" s="364">
        <f>IF(K4&gt;'Project Assumptions'!$I$15+1,0,K69-K73)</f>
        <v>28734.235991291007</v>
      </c>
      <c r="L74" s="364">
        <f>IF(L4&gt;'Project Assumptions'!$I$15+1,0,L69-L73)</f>
        <v>29910.972549049115</v>
      </c>
      <c r="M74" s="364">
        <f>IF(M4&gt;'Project Assumptions'!$I$15+1,0,M69-M73)</f>
        <v>31531.666228889397</v>
      </c>
      <c r="N74" s="364">
        <f>IF(N4&gt;'Project Assumptions'!$I$15+1,0,N69-N73)</f>
        <v>33385.090593895213</v>
      </c>
      <c r="O74" s="364">
        <f>IF(O4&gt;'Project Assumptions'!$I$15+1,0,O69-O73)</f>
        <v>34196.121127399063</v>
      </c>
      <c r="P74" s="364">
        <f>IF(P4&gt;'Project Assumptions'!$I$15+1,0,P69-P73)</f>
        <v>35074.085500374546</v>
      </c>
      <c r="Q74" s="364">
        <f>IF(Q4&gt;'Project Assumptions'!$I$15+1,0,Q69-Q73)</f>
        <v>35979.390246110423</v>
      </c>
      <c r="R74" s="364">
        <f>IF(R4&gt;'Project Assumptions'!$I$15+1,0,R69-R73)</f>
        <v>36825.680636100595</v>
      </c>
      <c r="S74" s="364">
        <f>IF(S4&gt;'Project Assumptions'!$I$15+1,0,S69-S73)</f>
        <v>37654.062658457246</v>
      </c>
      <c r="T74" s="364">
        <f>IF(T4&gt;'Project Assumptions'!$I$15+1,0,T69-T73)</f>
        <v>38463.063884105308</v>
      </c>
      <c r="U74" s="364">
        <f>IF(U4&gt;'Project Assumptions'!$I$15+1,0,U69-U73)</f>
        <v>39697.798001809635</v>
      </c>
      <c r="V74" s="364">
        <f>IF(V4&gt;'Project Assumptions'!$I$15+1,0,V69-V73)</f>
        <v>41029.137389454467</v>
      </c>
      <c r="W74" s="364">
        <f>IF(W4&gt;'Project Assumptions'!$I$15+1,0,W69-W73)</f>
        <v>41374.136437486515</v>
      </c>
      <c r="X74" s="364">
        <f>IF(X4&gt;'Project Assumptions'!$I$15+1,0,X69-X73)</f>
        <v>11989.22152647345</v>
      </c>
      <c r="Y74" s="364">
        <f>IF(Y4&gt;'Project Assumptions'!$I$15+1,0,Y69-Y73)</f>
        <v>0</v>
      </c>
      <c r="Z74" s="364">
        <f>IF(Z4&gt;'Project Assumptions'!$I$15+1,0,Z69-Z73)</f>
        <v>0</v>
      </c>
      <c r="AA74" s="364">
        <f>IF(AA4&gt;'Project Assumptions'!$I$15+1,0,AA69-AA73)</f>
        <v>0</v>
      </c>
      <c r="AB74" s="365">
        <f>IF(AB4&gt;'Project Assumptions'!$I$15+1,0,AB69-AB73)</f>
        <v>0</v>
      </c>
    </row>
    <row r="75" spans="1:29" ht="12.6" customHeight="1">
      <c r="B75" s="359"/>
      <c r="C75" s="346"/>
      <c r="D75" s="363"/>
      <c r="E75" s="363"/>
      <c r="F75" s="363"/>
      <c r="G75" s="363"/>
      <c r="H75" s="363"/>
      <c r="I75" s="363"/>
      <c r="J75" s="363"/>
      <c r="K75" s="363"/>
      <c r="L75" s="363"/>
      <c r="M75" s="363"/>
      <c r="N75" s="363"/>
      <c r="O75" s="363"/>
      <c r="P75" s="363"/>
      <c r="Q75" s="363"/>
      <c r="R75" s="363"/>
      <c r="S75" s="363"/>
      <c r="T75" s="363"/>
      <c r="U75" s="363"/>
      <c r="V75" s="363"/>
      <c r="W75" s="363"/>
      <c r="X75" s="363"/>
      <c r="Y75" s="363"/>
      <c r="Z75" s="363"/>
      <c r="AA75" s="363"/>
      <c r="AB75" s="397"/>
    </row>
    <row r="76" spans="1:29" ht="12.6" customHeight="1">
      <c r="B76" s="359" t="s">
        <v>87</v>
      </c>
      <c r="C76" s="346"/>
      <c r="D76" s="388">
        <f>D74*'Project Assumptions'!$N$65</f>
        <v>-1586.6090557458697</v>
      </c>
      <c r="E76" s="388">
        <f>IF(E4&gt;'Project Assumptions'!$I$15+1,0,E74*'Project Assumptions'!$N$65)</f>
        <v>2026.925783257112</v>
      </c>
      <c r="F76" s="388">
        <f>IF(F4&gt;'Project Assumptions'!$I$15+1,0,F74*'Project Assumptions'!$N$65)</f>
        <v>2194.8468126343914</v>
      </c>
      <c r="G76" s="388">
        <f>IF(G4&gt;'Project Assumptions'!$I$15+1,0,G74*'Project Assumptions'!$N$65)</f>
        <v>6453.915955792887</v>
      </c>
      <c r="H76" s="388">
        <f>IF(H4&gt;'Project Assumptions'!$I$15+1,0,H74*'Project Assumptions'!$N$65)</f>
        <v>9901.6485743079302</v>
      </c>
      <c r="I76" s="388">
        <f>IF(I4&gt;'Project Assumptions'!$I$15+1,0,I74*'Project Assumptions'!$N$65)</f>
        <v>10750.594040017811</v>
      </c>
      <c r="J76" s="388">
        <f>IF(J4&gt;'Project Assumptions'!$I$15+1,0,J74*'Project Assumptions'!$N$65)</f>
        <v>10927.507190806</v>
      </c>
      <c r="K76" s="388">
        <f>IF(K4&gt;'Project Assumptions'!$I$15+1,0,K74*'Project Assumptions'!$N$65)</f>
        <v>11398.009390665402</v>
      </c>
      <c r="L76" s="388">
        <f>IF(L4&gt;'Project Assumptions'!$I$15+1,0,L74*'Project Assumptions'!$N$65)</f>
        <v>11864.785481031311</v>
      </c>
      <c r="M76" s="388">
        <f>IF(M4&gt;'Project Assumptions'!$I$15+1,0,M74*'Project Assumptions'!$N$65)</f>
        <v>12507.666043013556</v>
      </c>
      <c r="N76" s="388">
        <f>IF(N4&gt;'Project Assumptions'!$I$15+1,0,N74*'Project Assumptions'!$N$65)</f>
        <v>13242.863885880413</v>
      </c>
      <c r="O76" s="388">
        <f>IF(O4&gt;'Project Assumptions'!$I$15+1,0,O74*'Project Assumptions'!$N$65)</f>
        <v>13564.575367605385</v>
      </c>
      <c r="P76" s="388">
        <f>IF(P4&gt;'Project Assumptions'!$I$15+1,0,P74*'Project Assumptions'!$N$65)</f>
        <v>13912.83749543357</v>
      </c>
      <c r="Q76" s="388">
        <f>IF(Q4&gt;'Project Assumptions'!$I$15+1,0,Q74*'Project Assumptions'!$N$65)</f>
        <v>14271.94472892462</v>
      </c>
      <c r="R76" s="388">
        <f>IF(R4&gt;'Project Assumptions'!$I$15+1,0,R74*'Project Assumptions'!$N$65)</f>
        <v>14607.642737922022</v>
      </c>
      <c r="S76" s="388">
        <f>IF(S4&gt;'Project Assumptions'!$I$15+1,0,S74*'Project Assumptions'!$N$65)</f>
        <v>14936.237034730235</v>
      </c>
      <c r="T76" s="388">
        <f>IF(T4&gt;'Project Assumptions'!$I$15+1,0,T74*'Project Assumptions'!$N$65)</f>
        <v>15257.143550908051</v>
      </c>
      <c r="U76" s="388">
        <f>IF(U4&gt;'Project Assumptions'!$I$15+1,0,U74*'Project Assumptions'!$N$65)</f>
        <v>15746.925533377827</v>
      </c>
      <c r="V76" s="388">
        <f>IF(V4&gt;'Project Assumptions'!$I$15+1,0,V74*'Project Assumptions'!$N$65)</f>
        <v>16275.027928274902</v>
      </c>
      <c r="W76" s="388">
        <f>IF(W4&gt;'Project Assumptions'!$I$15+1,0,W74*'Project Assumptions'!$N$65)</f>
        <v>16411.878700657773</v>
      </c>
      <c r="X76" s="388">
        <f>IF(X4&gt;'Project Assumptions'!$I$15+1,0,X74*'Project Assumptions'!$N$65)</f>
        <v>4755.7645029062232</v>
      </c>
      <c r="Y76" s="388">
        <f>IF(Y4&gt;'Project Assumptions'!$I$15+1,0,Y74*'Project Assumptions'!$N$65)</f>
        <v>0</v>
      </c>
      <c r="Z76" s="388">
        <f>IF(Z4&gt;'Project Assumptions'!$I$15+1,0,Z74*'Project Assumptions'!$N$65)</f>
        <v>0</v>
      </c>
      <c r="AA76" s="388">
        <f>IF(AA4&gt;'Project Assumptions'!$I$15+1,0,AA74*'Project Assumptions'!$N$65)</f>
        <v>0</v>
      </c>
      <c r="AB76" s="389">
        <f>IF(AB4&gt;'Project Assumptions'!$I$15+1,0,AB74*'Project Assumptions'!$N$65)</f>
        <v>0</v>
      </c>
    </row>
    <row r="77" spans="1:29" ht="12.6" customHeight="1">
      <c r="B77" s="370" t="s">
        <v>35</v>
      </c>
      <c r="C77" s="371"/>
      <c r="D77" s="399">
        <f>D74-D76</f>
        <v>-2413.2120946962355</v>
      </c>
      <c r="E77" s="399">
        <f>IF(E4&gt;'Project Assumptions'!$I$15+1,0,E74-E76)</f>
        <v>3082.928209374325</v>
      </c>
      <c r="F77" s="399">
        <f>IF(F4&gt;'Project Assumptions'!$I$15+1,0,F74-F76)</f>
        <v>3338.3339487904495</v>
      </c>
      <c r="G77" s="399">
        <f>IF(G4&gt;'Project Assumptions'!$I$15+1,0,G74-G76)</f>
        <v>9816.3236786460348</v>
      </c>
      <c r="H77" s="399">
        <f>IF(H4&gt;'Project Assumptions'!$I$15+1,0,H74-H76)</f>
        <v>15060.280924539804</v>
      </c>
      <c r="I77" s="399">
        <f>IF(I4&gt;'Project Assumptions'!$I$15+1,0,I74-I76)</f>
        <v>16351.516127168547</v>
      </c>
      <c r="J77" s="399">
        <f>IF(J4&gt;'Project Assumptions'!$I$15+1,0,J74-J76)</f>
        <v>16620.59876831872</v>
      </c>
      <c r="K77" s="399">
        <f>IF(K4&gt;'Project Assumptions'!$I$15+1,0,K74-K76)</f>
        <v>17336.226600625603</v>
      </c>
      <c r="L77" s="399">
        <f>IF(L4&gt;'Project Assumptions'!$I$15+1,0,L74-L76)</f>
        <v>18046.187068017804</v>
      </c>
      <c r="M77" s="399">
        <f>IF(M4&gt;'Project Assumptions'!$I$15+1,0,M74-M76)</f>
        <v>19024.000185875841</v>
      </c>
      <c r="N77" s="399">
        <f>IF(N4&gt;'Project Assumptions'!$I$15+1,0,N74-N76)</f>
        <v>20142.226708014801</v>
      </c>
      <c r="O77" s="399">
        <f>IF(O4&gt;'Project Assumptions'!$I$15+1,0,O74-O76)</f>
        <v>20631.545759793677</v>
      </c>
      <c r="P77" s="399">
        <f>IF(P4&gt;'Project Assumptions'!$I$15+1,0,P74-P76)</f>
        <v>21161.248004940975</v>
      </c>
      <c r="Q77" s="399">
        <f>IF(Q4&gt;'Project Assumptions'!$I$15+1,0,Q74-Q76)</f>
        <v>21707.445517185803</v>
      </c>
      <c r="R77" s="399">
        <f>IF(R4&gt;'Project Assumptions'!$I$15+1,0,R74-R76)</f>
        <v>22218.037898178573</v>
      </c>
      <c r="S77" s="399">
        <f>IF(S4&gt;'Project Assumptions'!$I$15+1,0,S74-S76)</f>
        <v>22717.825623727011</v>
      </c>
      <c r="T77" s="399">
        <f>IF(T4&gt;'Project Assumptions'!$I$15+1,0,T74-T76)</f>
        <v>23205.920333197257</v>
      </c>
      <c r="U77" s="399">
        <f>IF(U4&gt;'Project Assumptions'!$I$15+1,0,U74-U76)</f>
        <v>23950.872468431808</v>
      </c>
      <c r="V77" s="399">
        <f>IF(V4&gt;'Project Assumptions'!$I$15+1,0,V74-V76)</f>
        <v>24754.109461179563</v>
      </c>
      <c r="W77" s="399">
        <f>IF(W4&gt;'Project Assumptions'!$I$15+1,0,W74-W76)</f>
        <v>24962.257736828742</v>
      </c>
      <c r="X77" s="399">
        <f>IF(X4&gt;'Project Assumptions'!$I$15+1,0,X74-X76)</f>
        <v>7233.4570235672263</v>
      </c>
      <c r="Y77" s="399">
        <f>IF(Y4&gt;'Project Assumptions'!$I$15+1,0,Y74-Y76)</f>
        <v>0</v>
      </c>
      <c r="Z77" s="399">
        <f>IF(Z4&gt;'Project Assumptions'!$I$15+1,0,Z74-Z76)</f>
        <v>0</v>
      </c>
      <c r="AA77" s="399">
        <f>IF(AA4&gt;'Project Assumptions'!$I$15+1,0,AA74-AA76)</f>
        <v>0</v>
      </c>
      <c r="AB77" s="400">
        <f>IF(AB4&gt;'Project Assumptions'!$I$15+1,0,AB74-AB76)</f>
        <v>0</v>
      </c>
    </row>
    <row r="78" spans="1:29" ht="12.6" customHeight="1">
      <c r="B78" s="39"/>
      <c r="C78" s="35"/>
      <c r="D78" s="353"/>
      <c r="E78" s="353"/>
      <c r="F78" s="353"/>
      <c r="G78" s="353"/>
      <c r="H78" s="353"/>
      <c r="I78" s="353"/>
      <c r="J78" s="353"/>
      <c r="K78" s="353"/>
      <c r="L78" s="353"/>
      <c r="M78" s="353"/>
      <c r="N78" s="353"/>
      <c r="O78" s="353"/>
      <c r="P78" s="353"/>
      <c r="Q78" s="353"/>
      <c r="R78" s="353"/>
      <c r="S78" s="353"/>
      <c r="T78" s="353"/>
      <c r="U78" s="353"/>
      <c r="V78" s="353"/>
      <c r="W78" s="353"/>
      <c r="X78" s="353"/>
      <c r="Y78" s="353"/>
      <c r="Z78" s="353"/>
      <c r="AA78" s="353"/>
      <c r="AB78" s="353"/>
    </row>
    <row r="79" spans="1:29" ht="12.6" customHeight="1">
      <c r="B79" s="39" t="s">
        <v>302</v>
      </c>
      <c r="C79" s="36">
        <f>NPV('Project Assumptions'!$I$56,'Book Income Statement'!D79:F79)</f>
        <v>9520.5274444134066</v>
      </c>
      <c r="D79" s="401">
        <v>0</v>
      </c>
      <c r="E79" s="401">
        <v>0</v>
      </c>
      <c r="F79" s="401">
        <f>F74+F67</f>
        <v>13375.655581424842</v>
      </c>
      <c r="G79" s="401"/>
      <c r="H79" s="401"/>
      <c r="I79" s="401"/>
      <c r="J79" s="401"/>
      <c r="K79" s="401"/>
      <c r="L79" s="401"/>
      <c r="M79" s="401"/>
      <c r="N79" s="401"/>
      <c r="O79" s="401"/>
      <c r="P79" s="401"/>
      <c r="Q79" s="401"/>
      <c r="R79" s="401"/>
      <c r="S79" s="401"/>
      <c r="T79" s="401"/>
      <c r="U79" s="401"/>
      <c r="V79" s="401"/>
      <c r="W79" s="401"/>
      <c r="X79" s="401"/>
      <c r="Y79" s="401"/>
      <c r="Z79" s="401"/>
      <c r="AA79" s="401"/>
      <c r="AB79" s="401"/>
    </row>
    <row r="80" spans="1:29" ht="12.6" customHeight="1">
      <c r="B80" s="377" t="s">
        <v>295</v>
      </c>
      <c r="C80" s="36">
        <f>NPV('Project Assumptions'!$I$56,'Book Income Statement'!D80:F80)</f>
        <v>2376.1601653539888</v>
      </c>
      <c r="D80" s="36">
        <v>0</v>
      </c>
      <c r="E80" s="36">
        <v>0</v>
      </c>
      <c r="F80" s="401">
        <f>F77</f>
        <v>3338.3339487904495</v>
      </c>
    </row>
    <row r="81" spans="2:35" ht="13.15" customHeight="1">
      <c r="B81" s="377"/>
      <c r="D81" s="401"/>
      <c r="E81" s="401"/>
      <c r="F81" s="401"/>
      <c r="G81" s="401"/>
      <c r="H81" s="401"/>
      <c r="I81" s="401"/>
      <c r="J81" s="401"/>
      <c r="K81" s="401"/>
      <c r="L81" s="401"/>
      <c r="M81" s="401"/>
      <c r="N81" s="401"/>
      <c r="O81" s="401"/>
      <c r="P81" s="401"/>
      <c r="Q81" s="401"/>
      <c r="R81" s="401"/>
      <c r="S81" s="401"/>
      <c r="T81" s="401"/>
      <c r="U81" s="401"/>
      <c r="V81" s="401"/>
      <c r="W81" s="401"/>
      <c r="X81" s="401"/>
      <c r="Y81" s="401"/>
      <c r="Z81" s="401"/>
      <c r="AA81" s="401"/>
      <c r="AB81" s="401"/>
    </row>
    <row r="82" spans="2:35" customFormat="1" ht="12.6" customHeight="1">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2:35" ht="12.6" customHeight="1">
      <c r="B83" s="39"/>
      <c r="C83" s="35"/>
      <c r="D83" s="353"/>
      <c r="E83" s="353"/>
      <c r="F83" s="353"/>
      <c r="G83" s="353"/>
      <c r="H83" s="353"/>
      <c r="I83" s="353"/>
      <c r="J83" s="353"/>
      <c r="K83" s="353"/>
      <c r="L83" s="353"/>
      <c r="M83" s="353"/>
      <c r="N83" s="353"/>
      <c r="O83" s="353"/>
      <c r="P83" s="353"/>
      <c r="Q83" s="353"/>
      <c r="R83" s="353"/>
      <c r="S83" s="353"/>
      <c r="T83" s="353"/>
      <c r="U83" s="353"/>
      <c r="V83" s="353"/>
      <c r="W83" s="353"/>
      <c r="X83" s="353"/>
      <c r="Y83" s="353"/>
      <c r="Z83" s="353"/>
      <c r="AA83" s="353"/>
      <c r="AB83" s="353"/>
    </row>
    <row r="84" spans="2:35" ht="12.6" customHeight="1">
      <c r="B84" s="393"/>
      <c r="D84" s="402"/>
      <c r="E84" s="402"/>
      <c r="F84" s="402"/>
      <c r="G84" s="402"/>
      <c r="H84" s="402"/>
      <c r="I84" s="402"/>
      <c r="J84" s="402"/>
      <c r="K84" s="402"/>
      <c r="L84" s="402"/>
      <c r="M84" s="402"/>
      <c r="N84" s="402"/>
      <c r="O84" s="402"/>
      <c r="P84" s="402"/>
      <c r="Q84" s="402"/>
      <c r="R84" s="402"/>
      <c r="S84" s="402"/>
      <c r="T84" s="402"/>
      <c r="U84" s="402"/>
      <c r="V84" s="402"/>
      <c r="W84" s="402"/>
      <c r="X84" s="402"/>
      <c r="Y84" s="402"/>
      <c r="Z84" s="402"/>
      <c r="AA84" s="402"/>
      <c r="AB84" s="402"/>
    </row>
    <row r="85" spans="2:35" ht="12.6" customHeight="1">
      <c r="B85" s="377"/>
      <c r="D85" s="401"/>
      <c r="E85" s="401"/>
      <c r="F85" s="401"/>
      <c r="G85" s="401"/>
      <c r="H85" s="401"/>
      <c r="I85" s="401"/>
      <c r="J85" s="401"/>
      <c r="K85" s="401"/>
      <c r="L85" s="401"/>
      <c r="M85" s="401"/>
      <c r="N85" s="401"/>
      <c r="O85" s="401"/>
      <c r="P85" s="401"/>
      <c r="Q85" s="401"/>
      <c r="R85" s="401"/>
      <c r="S85" s="401"/>
      <c r="T85" s="401"/>
      <c r="U85" s="401"/>
      <c r="V85" s="401"/>
      <c r="W85" s="401"/>
      <c r="X85" s="401"/>
      <c r="Y85" s="401"/>
      <c r="Z85" s="401"/>
      <c r="AA85" s="401"/>
      <c r="AB85" s="401"/>
    </row>
    <row r="86" spans="2:35" ht="12.6" customHeight="1">
      <c r="B86" s="377"/>
      <c r="D86" s="403"/>
      <c r="E86" s="403"/>
      <c r="F86" s="403"/>
      <c r="G86" s="403"/>
      <c r="H86" s="403"/>
      <c r="I86" s="403"/>
      <c r="J86" s="403"/>
      <c r="K86" s="403"/>
      <c r="L86" s="403"/>
      <c r="M86" s="403"/>
      <c r="N86" s="403"/>
      <c r="O86" s="403"/>
      <c r="P86" s="403"/>
      <c r="Q86" s="403"/>
      <c r="R86" s="403"/>
      <c r="S86" s="403"/>
      <c r="T86" s="403"/>
      <c r="U86" s="403"/>
      <c r="V86" s="403"/>
      <c r="W86" s="403"/>
      <c r="X86" s="403"/>
      <c r="Y86" s="403"/>
      <c r="Z86" s="403"/>
      <c r="AA86" s="403"/>
      <c r="AB86" s="403"/>
    </row>
    <row r="87" spans="2:35" ht="12.6" customHeight="1">
      <c r="B87" s="377"/>
      <c r="D87" s="401"/>
      <c r="E87" s="401"/>
      <c r="F87" s="401"/>
      <c r="G87" s="401"/>
      <c r="H87" s="401"/>
      <c r="I87" s="401"/>
      <c r="J87" s="401"/>
      <c r="K87" s="401"/>
      <c r="L87" s="401"/>
      <c r="M87" s="401"/>
      <c r="N87" s="401"/>
      <c r="O87" s="401"/>
      <c r="P87" s="401"/>
      <c r="Q87" s="401"/>
      <c r="R87" s="401"/>
      <c r="S87" s="401"/>
      <c r="T87" s="401"/>
      <c r="U87" s="401"/>
      <c r="V87" s="401"/>
      <c r="W87" s="401"/>
      <c r="X87" s="401"/>
      <c r="Y87" s="401"/>
      <c r="Z87" s="401"/>
      <c r="AA87" s="401"/>
      <c r="AB87" s="401"/>
    </row>
    <row r="88" spans="2:35" customFormat="1" ht="12.6" customHeight="1">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2:35" ht="12.6" customHeight="1">
      <c r="B89" s="377"/>
      <c r="D89" s="404"/>
      <c r="E89" s="403"/>
      <c r="F89" s="403"/>
      <c r="G89" s="403"/>
      <c r="H89" s="403"/>
      <c r="I89" s="403"/>
      <c r="J89" s="403"/>
      <c r="K89" s="403"/>
      <c r="L89" s="403"/>
      <c r="M89" s="403"/>
      <c r="N89" s="403"/>
      <c r="O89" s="403"/>
      <c r="P89" s="403"/>
      <c r="Q89" s="403"/>
      <c r="R89" s="403"/>
      <c r="S89" s="403"/>
      <c r="T89" s="403"/>
      <c r="U89" s="403"/>
      <c r="V89" s="403"/>
      <c r="W89" s="403"/>
      <c r="X89" s="403"/>
      <c r="Y89" s="403"/>
      <c r="Z89" s="403"/>
      <c r="AA89" s="403"/>
      <c r="AB89" s="403"/>
    </row>
    <row r="90" spans="2:35" customFormat="1" ht="12.6" customHeight="1">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2:35" customFormat="1" ht="12.6" customHeight="1">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2:35" customFormat="1" ht="12.6" customHeight="1">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2:35" customFormat="1" ht="12.6" customHeight="1">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2:35" ht="12.6" customHeight="1">
      <c r="B94" s="39"/>
      <c r="C94" s="35"/>
      <c r="D94" s="405"/>
      <c r="E94" s="405"/>
      <c r="F94" s="405"/>
      <c r="G94" s="405"/>
      <c r="H94" s="405"/>
      <c r="I94" s="405"/>
      <c r="J94" s="405"/>
      <c r="K94" s="405"/>
      <c r="L94" s="405"/>
      <c r="M94" s="405"/>
      <c r="N94" s="405"/>
      <c r="O94" s="405"/>
      <c r="P94" s="405"/>
      <c r="Q94" s="405"/>
      <c r="R94" s="405"/>
      <c r="S94" s="405"/>
      <c r="T94" s="405"/>
      <c r="U94" s="405"/>
      <c r="V94" s="405"/>
      <c r="W94" s="405"/>
      <c r="X94" s="405"/>
      <c r="Y94" s="405"/>
      <c r="Z94" s="405"/>
      <c r="AA94" s="405"/>
      <c r="AB94" s="405"/>
    </row>
    <row r="95" spans="2:35" customFormat="1" ht="12.6" customHeight="1">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2:35" customFormat="1" ht="12.6" customHeight="1">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2:35" customFormat="1" ht="12.6" customHeight="1">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2:35" customFormat="1" ht="12.6" customHeight="1">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2:35" customFormat="1" ht="12.6" customHeight="1">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2:35" customFormat="1" ht="12.6" customHeight="1">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2:35" customFormat="1" ht="12.6" customHeight="1">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2:35" customFormat="1" ht="12.6" customHeight="1">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2:35" customFormat="1" ht="12.6" customHeight="1">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2:35" customFormat="1" ht="12.6" customHeight="1">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2:35" ht="12.6" customHeight="1">
      <c r="B105" s="393"/>
      <c r="D105" s="406"/>
      <c r="E105" s="406"/>
      <c r="F105" s="406"/>
      <c r="G105" s="406"/>
      <c r="H105" s="406"/>
      <c r="I105" s="406"/>
      <c r="J105" s="406"/>
      <c r="K105" s="406"/>
      <c r="L105" s="406"/>
      <c r="M105" s="406"/>
      <c r="N105" s="406"/>
      <c r="O105" s="406"/>
      <c r="P105" s="406"/>
      <c r="Q105" s="406"/>
      <c r="R105" s="406"/>
      <c r="S105" s="406"/>
      <c r="T105" s="406"/>
      <c r="U105" s="406"/>
      <c r="V105" s="406"/>
      <c r="W105" s="406"/>
      <c r="X105" s="406"/>
      <c r="Y105" s="406"/>
      <c r="Z105" s="406"/>
      <c r="AA105" s="406"/>
      <c r="AB105" s="406"/>
    </row>
    <row r="106" spans="2:35" ht="12.6" customHeight="1">
      <c r="B106" s="393"/>
      <c r="D106" s="406"/>
      <c r="E106" s="406"/>
      <c r="F106" s="406"/>
      <c r="G106" s="406"/>
      <c r="H106" s="406"/>
      <c r="I106" s="406"/>
      <c r="J106" s="406"/>
      <c r="K106" s="406"/>
      <c r="L106" s="406"/>
      <c r="M106" s="401"/>
      <c r="N106" s="401"/>
      <c r="O106" s="401"/>
      <c r="P106" s="401"/>
      <c r="Q106" s="401"/>
      <c r="R106" s="401"/>
      <c r="S106" s="401"/>
      <c r="T106" s="401"/>
      <c r="U106" s="401"/>
      <c r="V106" s="401"/>
      <c r="W106" s="401"/>
      <c r="X106" s="401"/>
      <c r="Y106" s="401"/>
      <c r="Z106" s="401"/>
      <c r="AA106" s="401"/>
      <c r="AB106" s="401"/>
    </row>
    <row r="107" spans="2:35" ht="12.6" customHeight="1">
      <c r="B107" s="393"/>
      <c r="D107" s="406"/>
      <c r="E107" s="406"/>
      <c r="F107" s="406"/>
      <c r="G107" s="406"/>
      <c r="H107" s="406"/>
      <c r="I107" s="406"/>
      <c r="J107" s="406"/>
      <c r="K107" s="406"/>
      <c r="L107" s="406"/>
      <c r="M107" s="401"/>
      <c r="N107" s="401"/>
      <c r="O107" s="401"/>
      <c r="P107" s="401"/>
      <c r="Q107" s="401"/>
      <c r="R107" s="401"/>
      <c r="S107" s="401"/>
      <c r="T107" s="401"/>
      <c r="U107" s="401"/>
      <c r="V107" s="401"/>
      <c r="W107" s="401"/>
      <c r="X107" s="401"/>
      <c r="Y107" s="401"/>
      <c r="Z107" s="401"/>
      <c r="AA107" s="401"/>
      <c r="AB107" s="401"/>
    </row>
    <row r="108" spans="2:35" ht="12.6" customHeight="1">
      <c r="B108" s="393"/>
      <c r="D108" s="401"/>
      <c r="E108" s="401"/>
      <c r="F108" s="401"/>
      <c r="G108" s="401"/>
      <c r="H108" s="401"/>
      <c r="I108" s="401"/>
      <c r="J108" s="401"/>
      <c r="K108" s="401"/>
      <c r="L108" s="401"/>
      <c r="M108" s="401"/>
      <c r="N108" s="401"/>
      <c r="O108" s="401"/>
      <c r="P108" s="401"/>
      <c r="Q108" s="401"/>
      <c r="R108" s="401"/>
      <c r="S108" s="401"/>
      <c r="T108" s="401"/>
      <c r="U108" s="401"/>
      <c r="V108" s="401"/>
      <c r="W108" s="401"/>
      <c r="X108" s="401"/>
      <c r="Y108" s="401"/>
      <c r="Z108" s="401"/>
      <c r="AA108" s="401"/>
      <c r="AB108" s="401"/>
    </row>
    <row r="109" spans="2:35" ht="12.6" customHeight="1">
      <c r="B109" s="393"/>
      <c r="D109" s="401"/>
      <c r="E109" s="401"/>
      <c r="F109" s="401"/>
      <c r="G109" s="401"/>
      <c r="H109" s="401"/>
      <c r="I109" s="401"/>
      <c r="J109" s="401"/>
      <c r="K109" s="401"/>
      <c r="L109" s="401"/>
      <c r="M109" s="401"/>
      <c r="N109" s="401"/>
      <c r="O109" s="401"/>
      <c r="P109" s="401"/>
      <c r="Q109" s="401"/>
      <c r="R109" s="401"/>
      <c r="S109" s="401"/>
      <c r="T109" s="401"/>
      <c r="U109" s="401"/>
      <c r="V109" s="401"/>
      <c r="W109" s="401"/>
      <c r="X109" s="401"/>
      <c r="Y109" s="401"/>
      <c r="Z109" s="401"/>
      <c r="AA109" s="401"/>
      <c r="AB109" s="401"/>
    </row>
    <row r="110" spans="2:35" customFormat="1" ht="12.6" customHeight="1">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2:35" customFormat="1" ht="12.6" customHeight="1">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2:35" customFormat="1" ht="12.6" customHeight="1">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2:35" ht="12.6" customHeight="1">
      <c r="B113" s="393"/>
      <c r="D113" s="407"/>
      <c r="E113" s="407"/>
      <c r="F113" s="407"/>
      <c r="G113" s="407"/>
      <c r="H113" s="407"/>
      <c r="I113" s="407"/>
      <c r="J113" s="407"/>
      <c r="K113" s="407"/>
      <c r="L113" s="407"/>
      <c r="M113" s="407"/>
      <c r="N113" s="407"/>
      <c r="O113" s="407"/>
      <c r="P113" s="407"/>
      <c r="Q113" s="407"/>
      <c r="R113" s="407"/>
      <c r="S113" s="407"/>
      <c r="T113" s="407"/>
      <c r="U113" s="407"/>
      <c r="V113" s="407"/>
      <c r="W113" s="407"/>
      <c r="X113" s="407"/>
      <c r="Y113" s="407"/>
      <c r="Z113" s="407"/>
      <c r="AA113" s="407"/>
      <c r="AB113" s="407"/>
    </row>
    <row r="114" spans="2:35" ht="12.6" customHeight="1">
      <c r="B114" s="393"/>
      <c r="D114" s="401"/>
      <c r="E114" s="401"/>
      <c r="F114" s="401"/>
      <c r="G114" s="401"/>
      <c r="H114" s="401"/>
      <c r="I114" s="401"/>
      <c r="J114" s="401"/>
      <c r="K114" s="401"/>
      <c r="L114" s="401"/>
      <c r="M114" s="401"/>
      <c r="N114" s="401"/>
      <c r="O114" s="401"/>
      <c r="P114" s="401"/>
      <c r="Q114" s="401"/>
      <c r="R114" s="401"/>
      <c r="S114" s="401"/>
      <c r="T114" s="401"/>
      <c r="U114" s="401"/>
      <c r="V114" s="401"/>
      <c r="W114" s="401"/>
      <c r="X114" s="401"/>
      <c r="Y114" s="401"/>
      <c r="Z114" s="401"/>
      <c r="AA114" s="401"/>
      <c r="AB114" s="401"/>
    </row>
    <row r="125" spans="2:35" customFormat="1" ht="12.6" customHeight="1">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2:35" customFormat="1" ht="12.6" customHeight="1">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2:35" customFormat="1" ht="12.6" customHeight="1">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2:35" customFormat="1" ht="12.6" customHeight="1">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2:35" customFormat="1" ht="12.6" customHeight="1">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2:35" customFormat="1" ht="12.6" customHeight="1">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2:35" customFormat="1" ht="12.6" customHeight="1">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2:35" customFormat="1" ht="12.6" customHeight="1">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2:35" customFormat="1" ht="12.6" customHeight="1">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2:35" customFormat="1" ht="12.6" customHeight="1">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2:35" customFormat="1" ht="12.6"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2:35" customFormat="1" ht="12.6" customHeight="1">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2:35" customFormat="1" ht="12.6" customHeight="1">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2:35" customFormat="1" ht="12.6" customHeight="1">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2:35" customFormat="1" ht="12.6" customHeight="1">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2:35" customFormat="1" ht="12.6" customHeight="1">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2:35" customFormat="1" ht="12.6" customHeight="1">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2:35" customFormat="1" ht="12.6" customHeight="1">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2:35" customFormat="1" ht="12.6" customHeight="1">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2:35" customFormat="1" ht="12.6" customHeight="1">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2:35" customFormat="1" ht="12.6" customHeight="1">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2:35" customFormat="1" ht="12.6" customHeight="1">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2:35" customFormat="1" ht="12.6" customHeight="1">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2:35" customFormat="1" ht="12.6" customHeight="1">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2:35" customFormat="1" ht="12.6" customHeight="1">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2:35" customFormat="1" ht="12.6" customHeight="1">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244" spans="4:28" ht="12.6" customHeight="1">
      <c r="D244" s="353"/>
      <c r="E244" s="353"/>
      <c r="F244" s="353"/>
      <c r="G244" s="353"/>
      <c r="H244" s="353"/>
      <c r="I244" s="353"/>
      <c r="J244" s="353"/>
      <c r="K244" s="353"/>
      <c r="L244" s="353"/>
      <c r="M244" s="353"/>
      <c r="N244" s="353"/>
      <c r="O244" s="353"/>
      <c r="P244" s="353"/>
      <c r="Q244" s="353"/>
      <c r="R244" s="353"/>
      <c r="S244" s="353"/>
      <c r="T244" s="353"/>
      <c r="U244" s="353"/>
      <c r="V244" s="353"/>
      <c r="W244" s="353"/>
      <c r="X244" s="353"/>
      <c r="Y244" s="353"/>
      <c r="Z244" s="353"/>
      <c r="AA244" s="353"/>
      <c r="AB244" s="353">
        <v>0</v>
      </c>
    </row>
    <row r="245" spans="4:28" ht="12.6" customHeight="1">
      <c r="D245" s="353"/>
      <c r="E245" s="353"/>
      <c r="F245" s="353"/>
      <c r="G245" s="353"/>
      <c r="H245" s="353"/>
      <c r="I245" s="353"/>
      <c r="J245" s="353"/>
      <c r="K245" s="353"/>
      <c r="L245" s="353"/>
      <c r="M245" s="353"/>
      <c r="N245" s="353"/>
      <c r="O245" s="353"/>
      <c r="P245" s="353"/>
      <c r="Q245" s="353"/>
      <c r="R245" s="353"/>
      <c r="S245" s="353"/>
      <c r="T245" s="353"/>
      <c r="U245" s="353"/>
      <c r="V245" s="353"/>
      <c r="W245" s="353"/>
      <c r="X245" s="353"/>
      <c r="Y245" s="353"/>
      <c r="Z245" s="353"/>
      <c r="AA245" s="353"/>
      <c r="AB245" s="353">
        <v>0</v>
      </c>
    </row>
    <row r="246" spans="4:28" ht="12.6" customHeight="1">
      <c r="D246" s="353"/>
      <c r="E246" s="353"/>
      <c r="F246" s="353"/>
      <c r="G246" s="353"/>
      <c r="H246" s="353"/>
      <c r="I246" s="353"/>
      <c r="J246" s="353"/>
      <c r="K246" s="353"/>
      <c r="L246" s="353"/>
      <c r="M246" s="353"/>
      <c r="N246" s="353"/>
      <c r="O246" s="353"/>
      <c r="P246" s="353"/>
      <c r="Q246" s="353"/>
      <c r="R246" s="353"/>
      <c r="S246" s="353"/>
      <c r="T246" s="353"/>
      <c r="U246" s="353"/>
      <c r="V246" s="353"/>
      <c r="W246" s="353"/>
      <c r="X246" s="353"/>
      <c r="Y246" s="353"/>
      <c r="Z246" s="353"/>
      <c r="AA246" s="353"/>
      <c r="AB246" s="353">
        <v>0</v>
      </c>
    </row>
    <row r="247" spans="4:28" ht="12.6" customHeight="1">
      <c r="D247" s="353"/>
      <c r="E247" s="353"/>
      <c r="F247" s="353"/>
      <c r="G247" s="353"/>
      <c r="H247" s="353"/>
      <c r="I247" s="353"/>
      <c r="J247" s="353"/>
      <c r="K247" s="353"/>
      <c r="L247" s="353"/>
      <c r="M247" s="353"/>
      <c r="N247" s="353"/>
      <c r="O247" s="353"/>
      <c r="P247" s="353"/>
      <c r="Q247" s="353"/>
      <c r="R247" s="353"/>
      <c r="S247" s="353"/>
      <c r="T247" s="353"/>
      <c r="U247" s="353"/>
      <c r="V247" s="353"/>
      <c r="W247" s="353"/>
      <c r="X247" s="353"/>
      <c r="Y247" s="353"/>
      <c r="Z247" s="353"/>
      <c r="AA247" s="353"/>
      <c r="AB247" s="353">
        <v>0</v>
      </c>
    </row>
    <row r="248" spans="4:28" ht="12.6" customHeight="1">
      <c r="D248" s="353"/>
      <c r="E248" s="353"/>
      <c r="F248" s="353"/>
      <c r="G248" s="353"/>
      <c r="H248" s="353"/>
      <c r="I248" s="353"/>
      <c r="J248" s="353"/>
      <c r="K248" s="353"/>
      <c r="L248" s="353"/>
      <c r="M248" s="353"/>
      <c r="N248" s="353"/>
      <c r="O248" s="353"/>
      <c r="P248" s="353"/>
      <c r="Q248" s="353"/>
      <c r="R248" s="353"/>
      <c r="S248" s="353"/>
      <c r="T248" s="353"/>
      <c r="U248" s="353"/>
      <c r="V248" s="353"/>
      <c r="W248" s="353"/>
      <c r="X248" s="353"/>
      <c r="Y248" s="353"/>
      <c r="Z248" s="353"/>
      <c r="AA248" s="353"/>
      <c r="AB248" s="353">
        <v>0</v>
      </c>
    </row>
    <row r="249" spans="4:28" ht="12.6" customHeight="1">
      <c r="D249" s="353"/>
      <c r="E249" s="353"/>
      <c r="F249" s="353"/>
      <c r="G249" s="353"/>
      <c r="H249" s="353"/>
      <c r="I249" s="353"/>
      <c r="J249" s="353"/>
      <c r="K249" s="353"/>
      <c r="L249" s="353"/>
      <c r="M249" s="353"/>
      <c r="N249" s="353"/>
      <c r="O249" s="353"/>
      <c r="P249" s="353"/>
      <c r="Q249" s="353"/>
      <c r="R249" s="353"/>
      <c r="S249" s="353"/>
      <c r="T249" s="353"/>
      <c r="U249" s="353"/>
      <c r="V249" s="353"/>
      <c r="W249" s="353"/>
      <c r="X249" s="353"/>
      <c r="Y249" s="353"/>
      <c r="Z249" s="353"/>
      <c r="AA249" s="353"/>
      <c r="AB249" s="353">
        <v>0</v>
      </c>
    </row>
    <row r="250" spans="4:28" ht="12.6" customHeight="1">
      <c r="D250" s="353"/>
      <c r="E250" s="353"/>
      <c r="F250" s="353"/>
      <c r="G250" s="353"/>
      <c r="H250" s="353"/>
      <c r="I250" s="353"/>
      <c r="J250" s="353"/>
      <c r="K250" s="353"/>
      <c r="L250" s="353"/>
      <c r="M250" s="353"/>
      <c r="N250" s="353"/>
      <c r="O250" s="353"/>
      <c r="P250" s="353"/>
      <c r="Q250" s="353"/>
      <c r="R250" s="353"/>
      <c r="S250" s="353"/>
      <c r="T250" s="353"/>
      <c r="U250" s="353"/>
      <c r="V250" s="353"/>
      <c r="W250" s="353"/>
      <c r="X250" s="353"/>
      <c r="Y250" s="353"/>
      <c r="Z250" s="353"/>
      <c r="AA250" s="353"/>
      <c r="AB250" s="353">
        <v>0</v>
      </c>
    </row>
    <row r="251" spans="4:28" ht="12.6" customHeight="1">
      <c r="D251" s="353"/>
      <c r="E251" s="353"/>
      <c r="F251" s="353"/>
      <c r="G251" s="353"/>
      <c r="H251" s="353"/>
      <c r="I251" s="353"/>
      <c r="J251" s="353"/>
      <c r="K251" s="353"/>
      <c r="L251" s="353"/>
      <c r="M251" s="353"/>
      <c r="N251" s="353"/>
      <c r="O251" s="353"/>
      <c r="P251" s="353"/>
      <c r="Q251" s="353"/>
      <c r="R251" s="353"/>
      <c r="S251" s="353"/>
      <c r="T251" s="353"/>
      <c r="U251" s="353"/>
      <c r="V251" s="353"/>
      <c r="W251" s="353"/>
      <c r="X251" s="353"/>
      <c r="Y251" s="353"/>
      <c r="Z251" s="353"/>
      <c r="AA251" s="353"/>
      <c r="AB251" s="353">
        <v>0</v>
      </c>
    </row>
    <row r="252" spans="4:28" ht="12.6" customHeight="1">
      <c r="D252" s="353"/>
      <c r="E252" s="353"/>
      <c r="F252" s="353"/>
      <c r="G252" s="353"/>
      <c r="H252" s="353"/>
      <c r="I252" s="353"/>
      <c r="J252" s="353"/>
      <c r="K252" s="353"/>
      <c r="L252" s="353"/>
      <c r="M252" s="353"/>
      <c r="N252" s="353"/>
      <c r="O252" s="353"/>
      <c r="P252" s="353"/>
      <c r="Q252" s="353"/>
      <c r="R252" s="353"/>
      <c r="S252" s="353"/>
      <c r="T252" s="353"/>
      <c r="U252" s="353"/>
      <c r="V252" s="353"/>
      <c r="W252" s="353"/>
      <c r="X252" s="353"/>
      <c r="Y252" s="353"/>
      <c r="Z252" s="353"/>
      <c r="AA252" s="353"/>
      <c r="AB252" s="353">
        <v>0</v>
      </c>
    </row>
    <row r="253" spans="4:28" ht="12.6" customHeight="1">
      <c r="D253" s="353"/>
      <c r="E253" s="353"/>
      <c r="F253" s="353"/>
      <c r="G253" s="353"/>
      <c r="H253" s="353"/>
      <c r="I253" s="353"/>
      <c r="J253" s="353"/>
      <c r="K253" s="353"/>
      <c r="L253" s="353"/>
      <c r="M253" s="353"/>
      <c r="N253" s="353"/>
      <c r="O253" s="353"/>
      <c r="P253" s="353"/>
      <c r="Q253" s="353"/>
      <c r="R253" s="353"/>
      <c r="S253" s="353"/>
      <c r="T253" s="353"/>
      <c r="U253" s="353"/>
      <c r="V253" s="353"/>
      <c r="W253" s="353"/>
      <c r="X253" s="353"/>
      <c r="Y253" s="353"/>
      <c r="Z253" s="353"/>
      <c r="AA253" s="353"/>
      <c r="AB253" s="353">
        <v>0</v>
      </c>
    </row>
    <row r="254" spans="4:28" ht="12.6" customHeight="1">
      <c r="D254" s="353"/>
      <c r="E254" s="353"/>
      <c r="F254" s="353"/>
      <c r="G254" s="353"/>
      <c r="H254" s="353"/>
      <c r="I254" s="353"/>
      <c r="J254" s="353"/>
      <c r="K254" s="353"/>
      <c r="L254" s="353"/>
      <c r="M254" s="353"/>
      <c r="N254" s="353"/>
      <c r="O254" s="353"/>
      <c r="P254" s="353"/>
      <c r="Q254" s="353"/>
      <c r="R254" s="353"/>
      <c r="S254" s="353"/>
      <c r="T254" s="353"/>
      <c r="U254" s="353"/>
      <c r="V254" s="353"/>
      <c r="W254" s="353"/>
      <c r="X254" s="353"/>
      <c r="Y254" s="353"/>
      <c r="Z254" s="353"/>
      <c r="AA254" s="353"/>
      <c r="AB254" s="353">
        <v>0</v>
      </c>
    </row>
    <row r="255" spans="4:28" ht="12.6" customHeight="1">
      <c r="D255" s="353"/>
      <c r="E255" s="353"/>
      <c r="F255" s="353"/>
      <c r="G255" s="353"/>
      <c r="H255" s="353"/>
      <c r="I255" s="353"/>
      <c r="J255" s="353"/>
      <c r="K255" s="353"/>
      <c r="L255" s="353"/>
      <c r="M255" s="353"/>
      <c r="N255" s="353"/>
      <c r="O255" s="353"/>
      <c r="P255" s="353"/>
      <c r="Q255" s="353"/>
      <c r="R255" s="353"/>
      <c r="S255" s="353"/>
      <c r="T255" s="353"/>
      <c r="U255" s="353"/>
      <c r="V255" s="353"/>
      <c r="W255" s="353"/>
      <c r="X255" s="353"/>
      <c r="Y255" s="353"/>
      <c r="Z255" s="353"/>
      <c r="AA255" s="353"/>
      <c r="AB255" s="353">
        <v>0</v>
      </c>
    </row>
    <row r="256" spans="4:28" ht="12.6" customHeight="1">
      <c r="D256" s="353"/>
      <c r="E256" s="353"/>
      <c r="F256" s="353"/>
      <c r="G256" s="353"/>
      <c r="H256" s="353"/>
      <c r="I256" s="353"/>
      <c r="J256" s="353"/>
      <c r="K256" s="353"/>
      <c r="L256" s="353"/>
      <c r="M256" s="353"/>
      <c r="N256" s="353"/>
      <c r="O256" s="353"/>
      <c r="P256" s="353"/>
      <c r="Q256" s="353"/>
      <c r="R256" s="353"/>
      <c r="S256" s="353"/>
      <c r="T256" s="353"/>
      <c r="U256" s="353"/>
      <c r="V256" s="353"/>
      <c r="W256" s="353"/>
      <c r="X256" s="353"/>
      <c r="Y256" s="353"/>
      <c r="Z256" s="353"/>
      <c r="AA256" s="353"/>
      <c r="AB256" s="353">
        <v>0</v>
      </c>
    </row>
    <row r="257" spans="2:35" ht="12.6" customHeight="1">
      <c r="D257" s="353"/>
      <c r="E257" s="353"/>
      <c r="F257" s="353"/>
      <c r="G257" s="353"/>
      <c r="H257" s="353"/>
      <c r="I257" s="353"/>
      <c r="J257" s="353"/>
      <c r="K257" s="353"/>
      <c r="L257" s="353"/>
      <c r="M257" s="353"/>
      <c r="N257" s="353"/>
      <c r="O257" s="353"/>
      <c r="P257" s="353"/>
      <c r="Q257" s="353"/>
      <c r="R257" s="353"/>
      <c r="S257" s="353"/>
      <c r="T257" s="353"/>
      <c r="U257" s="353"/>
      <c r="V257" s="353"/>
      <c r="W257" s="353"/>
      <c r="X257" s="353"/>
      <c r="Y257" s="353"/>
      <c r="Z257" s="353"/>
      <c r="AA257" s="353"/>
      <c r="AB257" s="353">
        <v>0</v>
      </c>
    </row>
    <row r="258" spans="2:35" ht="12.6" customHeight="1">
      <c r="D258" s="353"/>
      <c r="E258" s="353"/>
      <c r="F258" s="353"/>
      <c r="G258" s="353"/>
      <c r="H258" s="353"/>
      <c r="I258" s="353"/>
      <c r="J258" s="353"/>
      <c r="K258" s="353"/>
      <c r="L258" s="353"/>
      <c r="M258" s="353"/>
      <c r="N258" s="353"/>
      <c r="O258" s="353"/>
      <c r="P258" s="353"/>
      <c r="Q258" s="353"/>
      <c r="R258" s="353"/>
      <c r="S258" s="353"/>
      <c r="T258" s="353"/>
      <c r="U258" s="353"/>
      <c r="V258" s="353"/>
      <c r="W258" s="353"/>
      <c r="X258" s="353"/>
      <c r="Y258" s="353"/>
      <c r="Z258" s="353"/>
      <c r="AA258" s="353"/>
      <c r="AB258" s="353">
        <v>0</v>
      </c>
    </row>
    <row r="259" spans="2:35" customFormat="1" ht="12.6" customHeight="1">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row>
    <row r="260" spans="2:35" customFormat="1" ht="12.6" customHeight="1">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row>
    <row r="261" spans="2:35" ht="12.6" customHeight="1">
      <c r="D261" s="353"/>
      <c r="E261" s="353"/>
      <c r="F261" s="353"/>
      <c r="G261" s="353"/>
      <c r="H261" s="353"/>
      <c r="I261" s="353"/>
      <c r="J261" s="353"/>
      <c r="K261" s="353"/>
      <c r="L261" s="353"/>
      <c r="M261" s="353"/>
      <c r="N261" s="353"/>
      <c r="O261" s="353"/>
      <c r="P261" s="353"/>
      <c r="Q261" s="353"/>
      <c r="R261" s="353"/>
      <c r="S261" s="353"/>
      <c r="T261" s="353"/>
      <c r="U261" s="353"/>
      <c r="V261" s="353"/>
      <c r="W261" s="353"/>
      <c r="X261" s="353"/>
      <c r="Y261" s="353"/>
      <c r="Z261" s="353"/>
      <c r="AA261" s="353"/>
      <c r="AB261" s="353">
        <v>0</v>
      </c>
    </row>
    <row r="262" spans="2:35" ht="12.6" customHeight="1">
      <c r="D262" s="353"/>
      <c r="E262" s="353"/>
      <c r="F262" s="353"/>
      <c r="G262" s="353"/>
      <c r="H262" s="353"/>
      <c r="I262" s="353"/>
      <c r="J262" s="353"/>
      <c r="K262" s="353"/>
      <c r="L262" s="353"/>
      <c r="M262" s="353"/>
      <c r="N262" s="353"/>
      <c r="O262" s="353"/>
      <c r="P262" s="353"/>
      <c r="Q262" s="353"/>
      <c r="R262" s="353"/>
      <c r="S262" s="353"/>
      <c r="T262" s="353"/>
      <c r="U262" s="353"/>
      <c r="V262" s="353"/>
      <c r="W262" s="353"/>
      <c r="X262" s="353"/>
      <c r="Y262" s="353"/>
      <c r="Z262" s="353"/>
      <c r="AA262" s="353"/>
      <c r="AB262" s="353"/>
    </row>
    <row r="263" spans="2:35" ht="12.6" customHeight="1">
      <c r="D263" s="353"/>
      <c r="E263" s="353"/>
      <c r="F263" s="353"/>
      <c r="G263" s="353"/>
      <c r="H263" s="353"/>
      <c r="I263" s="353"/>
      <c r="J263" s="353"/>
      <c r="K263" s="353"/>
      <c r="L263" s="353"/>
      <c r="M263" s="353"/>
      <c r="N263" s="353"/>
      <c r="O263" s="353"/>
      <c r="P263" s="353"/>
      <c r="Q263" s="353"/>
      <c r="R263" s="353"/>
      <c r="S263" s="353"/>
      <c r="T263" s="353"/>
      <c r="U263" s="353"/>
      <c r="V263" s="353"/>
      <c r="W263" s="353"/>
      <c r="X263" s="353"/>
      <c r="Y263" s="353"/>
      <c r="Z263" s="353"/>
      <c r="AA263" s="353"/>
      <c r="AB263" s="353"/>
    </row>
    <row r="264" spans="2:35" ht="12.6" customHeight="1">
      <c r="D264" s="353"/>
      <c r="E264" s="353"/>
      <c r="F264" s="353"/>
      <c r="G264" s="353"/>
      <c r="H264" s="353"/>
      <c r="I264" s="353"/>
      <c r="J264" s="353"/>
      <c r="K264" s="353"/>
      <c r="L264" s="353"/>
      <c r="M264" s="353"/>
      <c r="N264" s="353"/>
      <c r="O264" s="353"/>
      <c r="P264" s="353"/>
      <c r="Q264" s="353"/>
      <c r="R264" s="353"/>
      <c r="S264" s="353"/>
      <c r="T264" s="353"/>
      <c r="U264" s="353"/>
      <c r="V264" s="353"/>
      <c r="W264" s="353"/>
      <c r="X264" s="353"/>
      <c r="Y264" s="353"/>
      <c r="Z264" s="353"/>
      <c r="AA264" s="353"/>
      <c r="AB264" s="353"/>
    </row>
    <row r="265" spans="2:35" ht="12.6" customHeight="1">
      <c r="D265" s="353"/>
      <c r="E265" s="353"/>
      <c r="F265" s="353"/>
      <c r="G265" s="353"/>
      <c r="H265" s="353"/>
      <c r="I265" s="353"/>
      <c r="J265" s="353"/>
      <c r="K265" s="353"/>
      <c r="L265" s="353"/>
      <c r="M265" s="353"/>
      <c r="N265" s="353"/>
      <c r="O265" s="353"/>
      <c r="P265" s="353"/>
      <c r="Q265" s="353"/>
      <c r="R265" s="353"/>
      <c r="S265" s="353"/>
      <c r="T265" s="353"/>
      <c r="U265" s="353"/>
      <c r="V265" s="353"/>
      <c r="W265" s="353"/>
      <c r="X265" s="353"/>
      <c r="Y265" s="353"/>
      <c r="Z265" s="353"/>
      <c r="AA265" s="353"/>
      <c r="AB265" s="353"/>
    </row>
    <row r="266" spans="2:35" ht="12.6" customHeight="1">
      <c r="D266" s="353"/>
      <c r="E266" s="353"/>
      <c r="F266" s="353"/>
      <c r="G266" s="353"/>
      <c r="H266" s="353"/>
      <c r="I266" s="353"/>
      <c r="J266" s="353"/>
      <c r="K266" s="353"/>
      <c r="L266" s="353"/>
      <c r="M266" s="353"/>
      <c r="N266" s="353"/>
      <c r="O266" s="353"/>
      <c r="P266" s="353"/>
      <c r="Q266" s="353"/>
      <c r="R266" s="353"/>
      <c r="S266" s="353"/>
      <c r="T266" s="353"/>
      <c r="U266" s="353"/>
      <c r="V266" s="353"/>
      <c r="W266" s="353"/>
      <c r="X266" s="353"/>
      <c r="Y266" s="353"/>
      <c r="Z266" s="353"/>
      <c r="AA266" s="353"/>
      <c r="AB266" s="353"/>
    </row>
    <row r="267" spans="2:35" ht="12.6" customHeight="1">
      <c r="D267" s="353"/>
      <c r="E267" s="353"/>
      <c r="F267" s="353"/>
      <c r="G267" s="353"/>
      <c r="H267" s="353"/>
      <c r="I267" s="353"/>
      <c r="J267" s="353"/>
      <c r="K267" s="353"/>
      <c r="L267" s="353"/>
      <c r="M267" s="353"/>
      <c r="N267" s="353"/>
      <c r="O267" s="353"/>
      <c r="P267" s="353"/>
      <c r="Q267" s="353"/>
      <c r="R267" s="353"/>
      <c r="S267" s="353"/>
      <c r="T267" s="353"/>
      <c r="U267" s="353"/>
      <c r="V267" s="353"/>
      <c r="W267" s="353"/>
      <c r="X267" s="353"/>
      <c r="Y267" s="353"/>
      <c r="Z267" s="353"/>
      <c r="AA267" s="353"/>
      <c r="AB267" s="353"/>
    </row>
    <row r="268" spans="2:35" ht="12.6" customHeight="1">
      <c r="D268" s="353"/>
      <c r="E268" s="353"/>
      <c r="F268" s="353"/>
      <c r="G268" s="353"/>
      <c r="H268" s="353"/>
      <c r="I268" s="353"/>
      <c r="J268" s="353"/>
      <c r="K268" s="353"/>
      <c r="L268" s="353"/>
      <c r="M268" s="353"/>
      <c r="N268" s="353"/>
      <c r="O268" s="353"/>
      <c r="P268" s="353"/>
      <c r="Q268" s="353"/>
      <c r="R268" s="353"/>
      <c r="S268" s="353"/>
      <c r="T268" s="353"/>
      <c r="U268" s="353"/>
      <c r="V268" s="353"/>
      <c r="W268" s="353"/>
      <c r="X268" s="353"/>
      <c r="Y268" s="353"/>
      <c r="Z268" s="353"/>
      <c r="AA268" s="353"/>
      <c r="AB268" s="353"/>
    </row>
    <row r="269" spans="2:35" ht="12.6" customHeight="1">
      <c r="D269" s="353"/>
      <c r="E269" s="353"/>
      <c r="F269" s="353"/>
      <c r="G269" s="353"/>
      <c r="H269" s="353"/>
      <c r="I269" s="353"/>
      <c r="J269" s="353"/>
      <c r="K269" s="353"/>
      <c r="L269" s="353"/>
      <c r="M269" s="353"/>
      <c r="N269" s="353"/>
      <c r="O269" s="353"/>
      <c r="P269" s="353"/>
      <c r="Q269" s="353"/>
      <c r="R269" s="353"/>
      <c r="S269" s="353"/>
      <c r="T269" s="353"/>
      <c r="U269" s="353"/>
      <c r="V269" s="353"/>
      <c r="W269" s="353"/>
      <c r="X269" s="353"/>
      <c r="Y269" s="353"/>
      <c r="Z269" s="353"/>
      <c r="AA269" s="353"/>
      <c r="AB269" s="353"/>
    </row>
    <row r="270" spans="2:35" ht="12.6" customHeight="1">
      <c r="D270" s="353"/>
      <c r="E270" s="353"/>
      <c r="F270" s="353"/>
      <c r="G270" s="353"/>
      <c r="H270" s="353"/>
      <c r="I270" s="353"/>
      <c r="J270" s="353"/>
      <c r="K270" s="353"/>
      <c r="L270" s="353"/>
      <c r="M270" s="353"/>
      <c r="N270" s="353"/>
      <c r="O270" s="353"/>
      <c r="P270" s="353"/>
      <c r="Q270" s="353"/>
      <c r="R270" s="353"/>
      <c r="S270" s="353"/>
      <c r="T270" s="353"/>
      <c r="U270" s="353"/>
      <c r="V270" s="353"/>
      <c r="W270" s="353"/>
      <c r="X270" s="353"/>
      <c r="Y270" s="353"/>
      <c r="Z270" s="353"/>
      <c r="AA270" s="353"/>
      <c r="AB270" s="353"/>
    </row>
    <row r="271" spans="2:35" ht="12.6" customHeight="1">
      <c r="D271" s="353"/>
      <c r="E271" s="353"/>
      <c r="F271" s="353"/>
      <c r="G271" s="353"/>
      <c r="H271" s="353"/>
      <c r="I271" s="353"/>
      <c r="J271" s="353"/>
      <c r="K271" s="353"/>
      <c r="L271" s="353"/>
      <c r="M271" s="353"/>
      <c r="N271" s="353"/>
      <c r="O271" s="353"/>
      <c r="P271" s="353"/>
      <c r="Q271" s="353"/>
      <c r="R271" s="353"/>
      <c r="S271" s="353"/>
      <c r="T271" s="353"/>
      <c r="U271" s="353"/>
      <c r="V271" s="353"/>
      <c r="W271" s="353"/>
      <c r="X271" s="353"/>
      <c r="Y271" s="353"/>
      <c r="Z271" s="353"/>
      <c r="AA271" s="353"/>
      <c r="AB271" s="353"/>
    </row>
    <row r="272" spans="2:35" ht="12.6" customHeight="1">
      <c r="D272" s="353"/>
      <c r="E272" s="353"/>
      <c r="F272" s="353"/>
      <c r="G272" s="353"/>
      <c r="H272" s="353"/>
      <c r="I272" s="353"/>
      <c r="J272" s="353"/>
      <c r="K272" s="353"/>
      <c r="L272" s="353"/>
      <c r="M272" s="353"/>
      <c r="N272" s="353"/>
      <c r="O272" s="353"/>
      <c r="P272" s="353"/>
      <c r="Q272" s="353"/>
      <c r="R272" s="353"/>
      <c r="S272" s="353"/>
      <c r="T272" s="353"/>
      <c r="U272" s="353"/>
      <c r="V272" s="353"/>
      <c r="W272" s="353"/>
      <c r="X272" s="353"/>
      <c r="Y272" s="353"/>
      <c r="Z272" s="353"/>
      <c r="AA272" s="353"/>
      <c r="AB272" s="353"/>
    </row>
    <row r="273" spans="4:28" ht="12.6" customHeight="1">
      <c r="D273" s="353"/>
      <c r="E273" s="353"/>
      <c r="F273" s="353"/>
      <c r="G273" s="353"/>
      <c r="H273" s="353"/>
      <c r="I273" s="353"/>
      <c r="J273" s="353"/>
      <c r="K273" s="353"/>
      <c r="L273" s="353"/>
      <c r="M273" s="353"/>
      <c r="N273" s="353"/>
      <c r="O273" s="353"/>
      <c r="P273" s="353"/>
      <c r="Q273" s="353"/>
      <c r="R273" s="353"/>
      <c r="S273" s="353"/>
      <c r="T273" s="353"/>
      <c r="U273" s="353"/>
      <c r="V273" s="353"/>
      <c r="W273" s="353"/>
      <c r="X273" s="353"/>
      <c r="Y273" s="353"/>
      <c r="Z273" s="353"/>
      <c r="AA273" s="353"/>
      <c r="AB273" s="353"/>
    </row>
    <row r="274" spans="4:28" ht="12.6" customHeight="1">
      <c r="D274" s="353"/>
      <c r="E274" s="353"/>
      <c r="F274" s="353"/>
      <c r="G274" s="353"/>
      <c r="H274" s="353"/>
      <c r="I274" s="353"/>
      <c r="J274" s="353"/>
      <c r="K274" s="353"/>
      <c r="L274" s="353"/>
      <c r="M274" s="353"/>
      <c r="N274" s="353"/>
      <c r="O274" s="353"/>
      <c r="P274" s="353"/>
      <c r="Q274" s="353"/>
      <c r="R274" s="353"/>
      <c r="S274" s="353"/>
      <c r="T274" s="353"/>
      <c r="U274" s="353"/>
      <c r="V274" s="353"/>
      <c r="W274" s="353"/>
      <c r="X274" s="353"/>
      <c r="Y274" s="353"/>
      <c r="Z274" s="353"/>
      <c r="AA274" s="353"/>
      <c r="AB274" s="353"/>
    </row>
    <row r="275" spans="4:28" ht="12.6" customHeight="1">
      <c r="D275" s="353"/>
      <c r="E275" s="353"/>
      <c r="F275" s="353"/>
      <c r="G275" s="353"/>
      <c r="H275" s="353"/>
      <c r="I275" s="353"/>
      <c r="J275" s="353"/>
      <c r="K275" s="353"/>
      <c r="L275" s="353"/>
      <c r="M275" s="353"/>
      <c r="N275" s="353"/>
      <c r="O275" s="353"/>
      <c r="P275" s="353"/>
      <c r="Q275" s="353"/>
      <c r="R275" s="353"/>
      <c r="S275" s="353"/>
      <c r="T275" s="353"/>
      <c r="U275" s="353"/>
      <c r="V275" s="353"/>
      <c r="W275" s="353"/>
      <c r="X275" s="353"/>
      <c r="Y275" s="353"/>
      <c r="Z275" s="353"/>
      <c r="AA275" s="353"/>
      <c r="AB275" s="353"/>
    </row>
    <row r="276" spans="4:28" ht="12.6" customHeight="1">
      <c r="D276" s="353"/>
      <c r="E276" s="353"/>
      <c r="F276" s="353"/>
      <c r="G276" s="353"/>
      <c r="H276" s="353"/>
      <c r="I276" s="353"/>
      <c r="J276" s="353"/>
      <c r="K276" s="353"/>
      <c r="L276" s="353"/>
      <c r="M276" s="353"/>
      <c r="N276" s="353"/>
      <c r="O276" s="353"/>
      <c r="P276" s="353"/>
      <c r="Q276" s="353"/>
      <c r="R276" s="353"/>
      <c r="S276" s="353"/>
      <c r="T276" s="353"/>
      <c r="U276" s="353"/>
      <c r="V276" s="353"/>
      <c r="W276" s="353"/>
      <c r="X276" s="353"/>
      <c r="Y276" s="353"/>
      <c r="Z276" s="353"/>
      <c r="AA276" s="353"/>
      <c r="AB276" s="353"/>
    </row>
    <row r="277" spans="4:28" ht="12.6" customHeight="1">
      <c r="D277" s="353"/>
      <c r="E277" s="353"/>
      <c r="F277" s="353"/>
      <c r="G277" s="353"/>
      <c r="H277" s="353"/>
      <c r="I277" s="353"/>
      <c r="J277" s="353"/>
      <c r="K277" s="353"/>
      <c r="L277" s="353"/>
      <c r="M277" s="353"/>
      <c r="N277" s="353"/>
      <c r="O277" s="353"/>
      <c r="P277" s="353"/>
      <c r="Q277" s="353"/>
      <c r="R277" s="353"/>
      <c r="S277" s="353"/>
      <c r="T277" s="353"/>
      <c r="U277" s="353"/>
      <c r="V277" s="353"/>
      <c r="W277" s="353"/>
      <c r="X277" s="353"/>
      <c r="Y277" s="353"/>
      <c r="Z277" s="353"/>
      <c r="AA277" s="353"/>
      <c r="AB277" s="353"/>
    </row>
    <row r="278" spans="4:28" ht="12.6" customHeight="1">
      <c r="D278" s="353"/>
      <c r="E278" s="353"/>
      <c r="F278" s="353"/>
      <c r="G278" s="353"/>
      <c r="H278" s="353"/>
      <c r="I278" s="353"/>
      <c r="J278" s="353"/>
      <c r="K278" s="353"/>
      <c r="L278" s="353"/>
      <c r="M278" s="353"/>
      <c r="N278" s="353"/>
      <c r="O278" s="353"/>
      <c r="P278" s="353"/>
      <c r="Q278" s="353"/>
      <c r="R278" s="353"/>
      <c r="S278" s="353"/>
      <c r="T278" s="353"/>
      <c r="U278" s="353"/>
      <c r="V278" s="353"/>
      <c r="W278" s="353"/>
      <c r="X278" s="353"/>
      <c r="Y278" s="353"/>
      <c r="Z278" s="353"/>
      <c r="AA278" s="353"/>
      <c r="AB278" s="353"/>
    </row>
    <row r="279" spans="4:28" ht="12.6" customHeight="1">
      <c r="D279" s="353"/>
      <c r="E279" s="353"/>
      <c r="F279" s="353"/>
      <c r="G279" s="353"/>
      <c r="H279" s="353"/>
      <c r="I279" s="353"/>
      <c r="J279" s="353"/>
      <c r="K279" s="353"/>
      <c r="L279" s="353"/>
      <c r="M279" s="353"/>
      <c r="N279" s="353"/>
      <c r="O279" s="353"/>
      <c r="P279" s="353"/>
      <c r="Q279" s="353"/>
      <c r="R279" s="353"/>
      <c r="S279" s="353"/>
      <c r="T279" s="353"/>
      <c r="U279" s="353"/>
      <c r="V279" s="353"/>
      <c r="W279" s="353"/>
      <c r="X279" s="353"/>
      <c r="Y279" s="353"/>
      <c r="Z279" s="353"/>
      <c r="AA279" s="353"/>
      <c r="AB279" s="353"/>
    </row>
    <row r="280" spans="4:28" ht="12.6" customHeight="1">
      <c r="D280" s="353"/>
      <c r="E280" s="353"/>
      <c r="F280" s="353"/>
      <c r="G280" s="353"/>
      <c r="H280" s="353"/>
      <c r="I280" s="353"/>
      <c r="J280" s="353"/>
      <c r="K280" s="353"/>
      <c r="L280" s="353"/>
      <c r="M280" s="353"/>
      <c r="N280" s="353"/>
      <c r="O280" s="353"/>
      <c r="P280" s="353"/>
      <c r="Q280" s="353"/>
      <c r="R280" s="353"/>
      <c r="S280" s="353"/>
      <c r="T280" s="353"/>
      <c r="U280" s="353"/>
      <c r="V280" s="353"/>
      <c r="W280" s="353"/>
      <c r="X280" s="353"/>
      <c r="Y280" s="353"/>
      <c r="Z280" s="353"/>
      <c r="AA280" s="353"/>
      <c r="AB280" s="353"/>
    </row>
    <row r="281" spans="4:28" ht="12.6" customHeight="1">
      <c r="D281" s="353"/>
      <c r="E281" s="353"/>
      <c r="F281" s="353"/>
      <c r="G281" s="353"/>
      <c r="H281" s="353"/>
      <c r="I281" s="353"/>
      <c r="J281" s="353"/>
      <c r="K281" s="353"/>
      <c r="L281" s="353"/>
      <c r="M281" s="353"/>
      <c r="N281" s="353"/>
      <c r="O281" s="353"/>
      <c r="P281" s="353"/>
      <c r="Q281" s="353"/>
      <c r="R281" s="353"/>
      <c r="S281" s="353"/>
      <c r="T281" s="353"/>
      <c r="U281" s="353"/>
      <c r="V281" s="353"/>
      <c r="W281" s="353"/>
      <c r="X281" s="353"/>
      <c r="Y281" s="353"/>
      <c r="Z281" s="353"/>
      <c r="AA281" s="353"/>
      <c r="AB281" s="353"/>
    </row>
    <row r="282" spans="4:28" ht="12.6" customHeight="1">
      <c r="D282" s="353"/>
      <c r="E282" s="353"/>
      <c r="F282" s="353"/>
      <c r="G282" s="353"/>
      <c r="H282" s="353"/>
      <c r="I282" s="353"/>
      <c r="J282" s="353"/>
      <c r="K282" s="353"/>
      <c r="L282" s="353"/>
      <c r="M282" s="353"/>
      <c r="N282" s="353"/>
      <c r="O282" s="353"/>
      <c r="P282" s="353"/>
      <c r="Q282" s="353"/>
      <c r="R282" s="353"/>
      <c r="S282" s="353"/>
      <c r="T282" s="353"/>
      <c r="U282" s="353"/>
      <c r="V282" s="353"/>
      <c r="W282" s="353"/>
      <c r="X282" s="353"/>
      <c r="Y282" s="353"/>
      <c r="Z282" s="353"/>
      <c r="AA282" s="353"/>
      <c r="AB282" s="353"/>
    </row>
    <row r="283" spans="4:28" ht="12.6" customHeight="1">
      <c r="D283" s="353"/>
      <c r="E283" s="353"/>
      <c r="F283" s="353"/>
      <c r="G283" s="353"/>
      <c r="H283" s="353"/>
      <c r="I283" s="353"/>
      <c r="J283" s="353"/>
      <c r="K283" s="353"/>
      <c r="L283" s="353"/>
      <c r="M283" s="353"/>
      <c r="N283" s="353"/>
      <c r="O283" s="353"/>
      <c r="P283" s="353"/>
      <c r="Q283" s="353"/>
      <c r="R283" s="353"/>
      <c r="S283" s="353"/>
      <c r="T283" s="353"/>
      <c r="U283" s="353"/>
      <c r="V283" s="353"/>
      <c r="W283" s="353"/>
      <c r="X283" s="353"/>
      <c r="Y283" s="353"/>
      <c r="Z283" s="353"/>
      <c r="AA283" s="353"/>
      <c r="AB283" s="353"/>
    </row>
    <row r="284" spans="4:28" ht="12.6" customHeight="1">
      <c r="D284" s="353"/>
      <c r="E284" s="353"/>
      <c r="F284" s="353"/>
      <c r="G284" s="353"/>
      <c r="H284" s="353"/>
      <c r="I284" s="353"/>
      <c r="J284" s="353"/>
      <c r="K284" s="353"/>
      <c r="L284" s="353"/>
      <c r="M284" s="353"/>
      <c r="N284" s="353"/>
      <c r="O284" s="353"/>
      <c r="P284" s="353"/>
      <c r="Q284" s="353"/>
      <c r="R284" s="353"/>
      <c r="S284" s="353"/>
      <c r="T284" s="353"/>
      <c r="U284" s="353"/>
      <c r="V284" s="353"/>
      <c r="W284" s="353"/>
      <c r="X284" s="353"/>
      <c r="Y284" s="353"/>
      <c r="Z284" s="353"/>
      <c r="AA284" s="353"/>
      <c r="AB284" s="353"/>
    </row>
    <row r="285" spans="4:28" ht="12.6" customHeight="1">
      <c r="D285" s="353"/>
      <c r="E285" s="353"/>
      <c r="F285" s="353"/>
      <c r="G285" s="353"/>
      <c r="H285" s="353"/>
      <c r="I285" s="353"/>
      <c r="J285" s="353"/>
      <c r="K285" s="353"/>
      <c r="L285" s="353"/>
      <c r="M285" s="353"/>
      <c r="N285" s="353"/>
      <c r="O285" s="353"/>
      <c r="P285" s="353"/>
      <c r="Q285" s="353"/>
      <c r="R285" s="353"/>
      <c r="S285" s="353"/>
      <c r="T285" s="353"/>
      <c r="U285" s="353"/>
      <c r="V285" s="353"/>
      <c r="W285" s="353"/>
      <c r="X285" s="353"/>
      <c r="Y285" s="353"/>
      <c r="Z285" s="353"/>
      <c r="AA285" s="353"/>
      <c r="AB285" s="353"/>
    </row>
    <row r="286" spans="4:28" ht="12.6" customHeight="1">
      <c r="D286" s="353"/>
      <c r="E286" s="353"/>
      <c r="F286" s="353"/>
      <c r="G286" s="353"/>
      <c r="H286" s="353"/>
      <c r="I286" s="353"/>
      <c r="J286" s="353"/>
      <c r="K286" s="353"/>
      <c r="L286" s="353"/>
      <c r="M286" s="353"/>
      <c r="N286" s="353"/>
      <c r="O286" s="353"/>
      <c r="P286" s="353"/>
      <c r="Q286" s="353"/>
      <c r="R286" s="353"/>
      <c r="S286" s="353"/>
      <c r="T286" s="353"/>
      <c r="U286" s="353"/>
      <c r="V286" s="353"/>
      <c r="W286" s="353"/>
      <c r="X286" s="353"/>
      <c r="Y286" s="353"/>
      <c r="Z286" s="353"/>
      <c r="AA286" s="353"/>
      <c r="AB286" s="353"/>
    </row>
    <row r="287" spans="4:28" ht="12.6" customHeight="1">
      <c r="D287" s="353"/>
      <c r="E287" s="353"/>
      <c r="F287" s="353"/>
      <c r="G287" s="353"/>
      <c r="H287" s="353"/>
      <c r="I287" s="353"/>
      <c r="J287" s="353"/>
      <c r="K287" s="353"/>
      <c r="L287" s="353"/>
      <c r="M287" s="353"/>
      <c r="N287" s="353"/>
      <c r="O287" s="353"/>
      <c r="P287" s="353"/>
      <c r="Q287" s="353"/>
      <c r="R287" s="353"/>
      <c r="S287" s="353"/>
      <c r="T287" s="353"/>
      <c r="U287" s="353"/>
      <c r="V287" s="353"/>
      <c r="W287" s="353"/>
      <c r="X287" s="353"/>
      <c r="Y287" s="353"/>
      <c r="Z287" s="353"/>
      <c r="AA287" s="353"/>
      <c r="AB287" s="353"/>
    </row>
    <row r="288" spans="4:28" ht="12.6" customHeight="1">
      <c r="D288" s="353"/>
      <c r="E288" s="353"/>
      <c r="F288" s="353"/>
      <c r="G288" s="353"/>
      <c r="H288" s="353"/>
      <c r="I288" s="353"/>
      <c r="J288" s="353"/>
      <c r="K288" s="353"/>
      <c r="L288" s="353"/>
      <c r="M288" s="353"/>
      <c r="N288" s="353"/>
      <c r="O288" s="353"/>
      <c r="P288" s="353"/>
      <c r="Q288" s="353"/>
      <c r="R288" s="353"/>
      <c r="S288" s="353"/>
      <c r="T288" s="353"/>
      <c r="U288" s="353"/>
      <c r="V288" s="353"/>
      <c r="W288" s="353"/>
      <c r="X288" s="353"/>
      <c r="Y288" s="353"/>
      <c r="Z288" s="353"/>
      <c r="AA288" s="353"/>
      <c r="AB288" s="353"/>
    </row>
    <row r="289" spans="4:28" ht="12.6" customHeight="1">
      <c r="D289" s="353"/>
      <c r="E289" s="353"/>
      <c r="F289" s="353"/>
      <c r="G289" s="353"/>
      <c r="H289" s="353"/>
      <c r="I289" s="353"/>
      <c r="J289" s="353"/>
      <c r="K289" s="353"/>
      <c r="L289" s="353"/>
      <c r="M289" s="353"/>
      <c r="N289" s="353"/>
      <c r="O289" s="353"/>
      <c r="P289" s="353"/>
      <c r="Q289" s="353"/>
      <c r="R289" s="353"/>
      <c r="S289" s="353"/>
      <c r="T289" s="353"/>
      <c r="U289" s="353"/>
      <c r="V289" s="353"/>
      <c r="W289" s="353"/>
      <c r="X289" s="353"/>
      <c r="Y289" s="353"/>
      <c r="Z289" s="353"/>
      <c r="AA289" s="353"/>
      <c r="AB289" s="353"/>
    </row>
    <row r="290" spans="4:28" ht="12.6" customHeight="1">
      <c r="D290" s="353"/>
      <c r="E290" s="353"/>
      <c r="F290" s="353"/>
      <c r="G290" s="353"/>
      <c r="H290" s="353"/>
      <c r="I290" s="353"/>
      <c r="J290" s="353"/>
      <c r="K290" s="353"/>
      <c r="L290" s="353"/>
      <c r="M290" s="353"/>
      <c r="N290" s="353"/>
      <c r="O290" s="353"/>
      <c r="P290" s="353"/>
      <c r="Q290" s="353"/>
      <c r="R290" s="353"/>
      <c r="S290" s="353"/>
      <c r="T290" s="353"/>
      <c r="U290" s="353"/>
      <c r="V290" s="353"/>
      <c r="W290" s="353"/>
      <c r="X290" s="353"/>
      <c r="Y290" s="353"/>
      <c r="Z290" s="353"/>
      <c r="AA290" s="353"/>
      <c r="AB290" s="353"/>
    </row>
    <row r="291" spans="4:28" ht="12.6" customHeight="1">
      <c r="D291" s="353"/>
      <c r="E291" s="353"/>
      <c r="F291" s="353"/>
      <c r="G291" s="353"/>
      <c r="H291" s="353"/>
      <c r="I291" s="353"/>
      <c r="J291" s="353"/>
      <c r="K291" s="353"/>
      <c r="L291" s="353"/>
      <c r="M291" s="353"/>
      <c r="N291" s="353"/>
      <c r="O291" s="353"/>
      <c r="P291" s="353"/>
      <c r="Q291" s="353"/>
      <c r="R291" s="353"/>
      <c r="S291" s="353"/>
      <c r="T291" s="353"/>
      <c r="U291" s="353"/>
      <c r="V291" s="353"/>
      <c r="W291" s="353"/>
      <c r="X291" s="353"/>
      <c r="Y291" s="353"/>
      <c r="Z291" s="353"/>
      <c r="AA291" s="353"/>
      <c r="AB291" s="353"/>
    </row>
    <row r="292" spans="4:28" ht="12.6" customHeight="1">
      <c r="D292" s="353"/>
      <c r="E292" s="353"/>
      <c r="F292" s="353"/>
      <c r="G292" s="353"/>
      <c r="H292" s="353"/>
      <c r="I292" s="353"/>
      <c r="J292" s="353"/>
      <c r="K292" s="353"/>
      <c r="L292" s="353"/>
      <c r="M292" s="353"/>
      <c r="N292" s="353"/>
      <c r="O292" s="353"/>
      <c r="P292" s="353"/>
      <c r="Q292" s="353"/>
      <c r="R292" s="353"/>
      <c r="S292" s="353"/>
      <c r="T292" s="353"/>
      <c r="U292" s="353"/>
      <c r="V292" s="353"/>
      <c r="W292" s="353"/>
      <c r="X292" s="353"/>
      <c r="Y292" s="353"/>
      <c r="Z292" s="353"/>
      <c r="AA292" s="353"/>
      <c r="AB292" s="353"/>
    </row>
    <row r="293" spans="4:28" ht="12.6" customHeight="1">
      <c r="D293" s="353"/>
      <c r="E293" s="353"/>
      <c r="F293" s="353"/>
      <c r="G293" s="353"/>
      <c r="H293" s="353"/>
      <c r="I293" s="353"/>
      <c r="J293" s="353"/>
      <c r="K293" s="353"/>
      <c r="L293" s="353"/>
      <c r="M293" s="353"/>
      <c r="N293" s="353"/>
      <c r="O293" s="353"/>
      <c r="P293" s="353"/>
      <c r="Q293" s="353"/>
      <c r="R293" s="353"/>
      <c r="S293" s="353"/>
      <c r="T293" s="353"/>
      <c r="U293" s="353"/>
      <c r="V293" s="353"/>
      <c r="W293" s="353"/>
      <c r="X293" s="353"/>
      <c r="Y293" s="353"/>
      <c r="Z293" s="353"/>
      <c r="AA293" s="353"/>
      <c r="AB293" s="353"/>
    </row>
    <row r="294" spans="4:28" ht="12.6" customHeight="1">
      <c r="D294" s="353"/>
      <c r="E294" s="353"/>
      <c r="F294" s="353"/>
      <c r="G294" s="353"/>
      <c r="H294" s="353"/>
      <c r="I294" s="353"/>
      <c r="J294" s="353"/>
      <c r="K294" s="353"/>
      <c r="L294" s="353"/>
      <c r="M294" s="353"/>
      <c r="N294" s="353"/>
      <c r="O294" s="353"/>
      <c r="P294" s="353"/>
      <c r="Q294" s="353"/>
      <c r="R294" s="353"/>
      <c r="S294" s="353"/>
      <c r="T294" s="353"/>
      <c r="U294" s="353"/>
      <c r="V294" s="353"/>
      <c r="W294" s="353"/>
      <c r="X294" s="353"/>
      <c r="Y294" s="353"/>
      <c r="Z294" s="353"/>
      <c r="AA294" s="353"/>
      <c r="AB294" s="353"/>
    </row>
    <row r="295" spans="4:28" ht="12.6" customHeight="1">
      <c r="D295" s="353"/>
      <c r="E295" s="353"/>
      <c r="F295" s="353"/>
      <c r="G295" s="353"/>
      <c r="H295" s="353"/>
      <c r="I295" s="353"/>
      <c r="J295" s="353"/>
      <c r="K295" s="353"/>
      <c r="L295" s="353"/>
      <c r="M295" s="353"/>
      <c r="N295" s="353"/>
      <c r="O295" s="353"/>
      <c r="P295" s="353"/>
      <c r="Q295" s="353"/>
      <c r="R295" s="353"/>
      <c r="S295" s="353"/>
      <c r="T295" s="353"/>
      <c r="U295" s="353"/>
      <c r="V295" s="353"/>
      <c r="W295" s="353"/>
      <c r="X295" s="353"/>
      <c r="Y295" s="353"/>
      <c r="Z295" s="353"/>
      <c r="AA295" s="353"/>
      <c r="AB295" s="353"/>
    </row>
  </sheetData>
  <customSheetViews>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1"/>
      <headerFooter alignWithMargins="0">
        <oddFooter>&amp;L&amp;D   &amp;T&amp;RO:\Naes\GenSvcs\Tva\Tva\Models\&amp;F
&amp;A   &amp;P</oddFooter>
      </headerFooter>
    </customSheetView>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2"/>
      <headerFooter alignWithMargins="0">
        <oddFooter>&amp;L&amp;D &amp;T&amp;RO:\Naes\GenSvcs\TVA\TVA Model\&amp;F
&amp;A &amp;P</oddFooter>
      </headerFooter>
    </customSheetView>
  </customSheetViews>
  <pageMargins left="0.25" right="0.25" top="0.25" bottom="0.5" header="0" footer="0"/>
  <pageSetup scale="43" orientation="landscape" verticalDpi="300" r:id="rId3"/>
  <headerFooter alignWithMargins="0">
    <oddFooter>&amp;L&amp;D   &amp;T&amp;R&amp;F
&amp;A &amp;P</oddFooter>
  </headerFooter>
  <colBreaks count="1" manualBreakCount="1">
    <brk id="15" max="73" man="1"/>
  </colBreaks>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3"/>
  <sheetViews>
    <sheetView topLeftCell="A2" zoomScale="75" zoomScaleNormal="75" workbookViewId="0">
      <selection activeCell="D23" sqref="D23:X23"/>
    </sheetView>
  </sheetViews>
  <sheetFormatPr defaultColWidth="9.28515625" defaultRowHeight="12.6" customHeight="1"/>
  <cols>
    <col min="1" max="1" width="24.7109375" style="34" customWidth="1"/>
    <col min="2" max="2" width="14.7109375" style="34" customWidth="1"/>
    <col min="3" max="3" width="9.7109375" style="34" bestFit="1" customWidth="1"/>
    <col min="4" max="28" width="9.28515625" style="34" bestFit="1" customWidth="1"/>
    <col min="29" max="30" width="9.28515625" style="10" customWidth="1"/>
    <col min="31" max="16384" width="9.28515625" style="4"/>
  </cols>
  <sheetData>
    <row r="1" spans="1:54" ht="20.25">
      <c r="A1" s="486" t="str">
        <f>'Project Assumptions'!$A$2</f>
        <v>WILTON CENTER, Will County, IL</v>
      </c>
      <c r="B1" s="498"/>
      <c r="C1" s="499"/>
    </row>
    <row r="2" spans="1:54" ht="15.6" customHeight="1">
      <c r="A2" s="490" t="s">
        <v>42</v>
      </c>
      <c r="B2" s="500"/>
      <c r="C2" s="501"/>
    </row>
    <row r="3" spans="1:54" ht="15.6" customHeight="1">
      <c r="A3" s="28"/>
    </row>
    <row r="4" spans="1:54" s="1" customFormat="1" ht="12.6" customHeight="1">
      <c r="A4" s="37"/>
      <c r="B4" s="27"/>
      <c r="C4" s="36"/>
      <c r="D4" s="36">
        <v>1</v>
      </c>
      <c r="E4" s="36">
        <f>D4+1</f>
        <v>2</v>
      </c>
      <c r="F4" s="36">
        <f t="shared" ref="F4:AB4" si="0">E4+1</f>
        <v>3</v>
      </c>
      <c r="G4" s="36">
        <f t="shared" si="0"/>
        <v>4</v>
      </c>
      <c r="H4" s="36">
        <f t="shared" si="0"/>
        <v>5</v>
      </c>
      <c r="I4" s="35">
        <f t="shared" si="0"/>
        <v>6</v>
      </c>
      <c r="J4" s="36">
        <f t="shared" si="0"/>
        <v>7</v>
      </c>
      <c r="K4" s="36">
        <f t="shared" si="0"/>
        <v>8</v>
      </c>
      <c r="L4" s="36">
        <f t="shared" si="0"/>
        <v>9</v>
      </c>
      <c r="M4" s="36">
        <f t="shared" si="0"/>
        <v>10</v>
      </c>
      <c r="N4" s="36">
        <f t="shared" si="0"/>
        <v>11</v>
      </c>
      <c r="O4" s="35">
        <f t="shared" si="0"/>
        <v>12</v>
      </c>
      <c r="P4" s="36">
        <f t="shared" si="0"/>
        <v>13</v>
      </c>
      <c r="Q4" s="36">
        <f t="shared" si="0"/>
        <v>14</v>
      </c>
      <c r="R4" s="36">
        <f t="shared" si="0"/>
        <v>15</v>
      </c>
      <c r="S4" s="36">
        <f t="shared" si="0"/>
        <v>16</v>
      </c>
      <c r="T4" s="36">
        <f t="shared" si="0"/>
        <v>17</v>
      </c>
      <c r="U4" s="35">
        <f t="shared" si="0"/>
        <v>18</v>
      </c>
      <c r="V4" s="36">
        <f t="shared" si="0"/>
        <v>19</v>
      </c>
      <c r="W4" s="36">
        <f t="shared" si="0"/>
        <v>20</v>
      </c>
      <c r="X4" s="36">
        <f t="shared" si="0"/>
        <v>21</v>
      </c>
      <c r="Y4" s="36">
        <f t="shared" si="0"/>
        <v>22</v>
      </c>
      <c r="Z4" s="36">
        <f t="shared" si="0"/>
        <v>23</v>
      </c>
      <c r="AA4" s="35">
        <f t="shared" si="0"/>
        <v>24</v>
      </c>
      <c r="AB4" s="36">
        <f t="shared" si="0"/>
        <v>25</v>
      </c>
      <c r="AC4" s="3"/>
      <c r="AD4"/>
    </row>
    <row r="5" spans="1:54" s="1" customFormat="1" ht="12.6" customHeight="1">
      <c r="A5" s="502"/>
      <c r="B5" s="343"/>
      <c r="C5" s="503"/>
      <c r="D5" s="504">
        <f>YEAR('Project Assumptions'!G16)</f>
        <v>2000</v>
      </c>
      <c r="E5" s="504">
        <f t="shared" ref="E5:AB5" si="1">D5+1</f>
        <v>2001</v>
      </c>
      <c r="F5" s="504">
        <f t="shared" si="1"/>
        <v>2002</v>
      </c>
      <c r="G5" s="504">
        <f t="shared" si="1"/>
        <v>2003</v>
      </c>
      <c r="H5" s="504">
        <f t="shared" si="1"/>
        <v>2004</v>
      </c>
      <c r="I5" s="504">
        <f t="shared" si="1"/>
        <v>2005</v>
      </c>
      <c r="J5" s="504">
        <f t="shared" si="1"/>
        <v>2006</v>
      </c>
      <c r="K5" s="504">
        <f t="shared" si="1"/>
        <v>2007</v>
      </c>
      <c r="L5" s="504">
        <f t="shared" si="1"/>
        <v>2008</v>
      </c>
      <c r="M5" s="504">
        <f t="shared" si="1"/>
        <v>2009</v>
      </c>
      <c r="N5" s="504">
        <f t="shared" si="1"/>
        <v>2010</v>
      </c>
      <c r="O5" s="504">
        <f t="shared" si="1"/>
        <v>2011</v>
      </c>
      <c r="P5" s="504">
        <f t="shared" si="1"/>
        <v>2012</v>
      </c>
      <c r="Q5" s="504">
        <f t="shared" si="1"/>
        <v>2013</v>
      </c>
      <c r="R5" s="504">
        <f t="shared" si="1"/>
        <v>2014</v>
      </c>
      <c r="S5" s="504">
        <f t="shared" si="1"/>
        <v>2015</v>
      </c>
      <c r="T5" s="504">
        <f t="shared" si="1"/>
        <v>2016</v>
      </c>
      <c r="U5" s="504">
        <f t="shared" si="1"/>
        <v>2017</v>
      </c>
      <c r="V5" s="504">
        <f t="shared" si="1"/>
        <v>2018</v>
      </c>
      <c r="W5" s="504">
        <f t="shared" si="1"/>
        <v>2019</v>
      </c>
      <c r="X5" s="504">
        <f t="shared" si="1"/>
        <v>2020</v>
      </c>
      <c r="Y5" s="504">
        <f t="shared" si="1"/>
        <v>2021</v>
      </c>
      <c r="Z5" s="504">
        <f t="shared" si="1"/>
        <v>2022</v>
      </c>
      <c r="AA5" s="504">
        <f t="shared" si="1"/>
        <v>2023</v>
      </c>
      <c r="AB5" s="505">
        <f t="shared" si="1"/>
        <v>2024</v>
      </c>
      <c r="AC5" s="22"/>
      <c r="AD5"/>
      <c r="AE5" s="22"/>
      <c r="AF5" s="22"/>
      <c r="AG5" s="22"/>
      <c r="AH5" s="22"/>
      <c r="AI5" s="22"/>
      <c r="AJ5" s="22"/>
      <c r="AK5" s="22"/>
      <c r="AL5" s="22"/>
      <c r="AM5" s="22"/>
      <c r="AN5" s="22"/>
      <c r="AO5" s="22"/>
      <c r="AP5" s="22"/>
      <c r="AQ5" s="22"/>
      <c r="AR5" s="22"/>
      <c r="AS5" s="22"/>
      <c r="AT5" s="22"/>
      <c r="AU5" s="22"/>
      <c r="AV5" s="22"/>
      <c r="AW5" s="22"/>
      <c r="AX5" s="22"/>
      <c r="AY5" s="22"/>
      <c r="AZ5" s="22"/>
    </row>
    <row r="6" spans="1:54" ht="12.6" customHeight="1">
      <c r="A6" s="420"/>
      <c r="B6" s="33"/>
      <c r="C6" s="506"/>
      <c r="D6" s="506"/>
      <c r="E6" s="506"/>
      <c r="F6" s="506"/>
      <c r="G6" s="506"/>
      <c r="H6" s="506"/>
      <c r="I6" s="506"/>
      <c r="J6" s="506"/>
      <c r="K6" s="506"/>
      <c r="L6" s="506"/>
      <c r="M6" s="506"/>
      <c r="N6" s="506"/>
      <c r="O6" s="506"/>
      <c r="P6" s="506"/>
      <c r="Q6" s="506"/>
      <c r="R6" s="506"/>
      <c r="S6" s="506"/>
      <c r="T6" s="506"/>
      <c r="U6" s="506"/>
      <c r="V6" s="506"/>
      <c r="W6" s="506"/>
      <c r="X6" s="506"/>
      <c r="Y6" s="506"/>
      <c r="Z6" s="506"/>
      <c r="AA6" s="506"/>
      <c r="AB6" s="507"/>
      <c r="AC6" s="5"/>
      <c r="AD6" s="5"/>
      <c r="AI6" s="6"/>
      <c r="AM6" s="6"/>
      <c r="AX6" s="6"/>
      <c r="BB6" s="6"/>
    </row>
    <row r="7" spans="1:54" ht="12.6" customHeight="1">
      <c r="A7" s="424" t="s">
        <v>33</v>
      </c>
      <c r="B7" s="33"/>
      <c r="C7" s="508">
        <f>SUM(D7:AD7)</f>
        <v>578370.26163410791</v>
      </c>
      <c r="D7" s="509">
        <f>IF(D4&gt;'Project Assumptions'!$I$15+1,0,'Book Income Statement'!D74)</f>
        <v>-3999.8211504421051</v>
      </c>
      <c r="E7" s="509">
        <f>IF(E4&gt;'Project Assumptions'!$I$15+1,0,'Book Income Statement'!E74)</f>
        <v>5109.853992631437</v>
      </c>
      <c r="F7" s="509">
        <f>IF(F4&gt;'Project Assumptions'!$I$15+1,0,'Book Income Statement'!F74)</f>
        <v>5533.180761424841</v>
      </c>
      <c r="G7" s="509">
        <f>IF(G4&gt;'Project Assumptions'!$I$15+1,0,'Book Income Statement'!G74)</f>
        <v>16270.239634438922</v>
      </c>
      <c r="H7" s="509">
        <f>IF(H4&gt;'Project Assumptions'!$I$15+1,0,'Book Income Statement'!H74)</f>
        <v>24961.929498847734</v>
      </c>
      <c r="I7" s="509">
        <f>IF(I4&gt;'Project Assumptions'!$I$15+1,0,'Book Income Statement'!I74)</f>
        <v>27102.110167186358</v>
      </c>
      <c r="J7" s="509">
        <f>IF(J4&gt;'Project Assumptions'!$I$15+1,0,'Book Income Statement'!J74)</f>
        <v>27548.105959124718</v>
      </c>
      <c r="K7" s="509">
        <f>IF(K4&gt;'Project Assumptions'!$I$15+1,0,'Book Income Statement'!K74)</f>
        <v>28734.235991291007</v>
      </c>
      <c r="L7" s="509">
        <f>IF(L4&gt;'Project Assumptions'!$I$15+1,0,'Book Income Statement'!L74)</f>
        <v>29910.972549049115</v>
      </c>
      <c r="M7" s="509">
        <f>IF(M4&gt;'Project Assumptions'!$I$15+1,0,'Book Income Statement'!M74)</f>
        <v>31531.666228889397</v>
      </c>
      <c r="N7" s="509">
        <f>IF(N4&gt;'Project Assumptions'!$I$15+1,0,'Book Income Statement'!N74)</f>
        <v>33385.090593895213</v>
      </c>
      <c r="O7" s="509">
        <f>IF(O4&gt;'Project Assumptions'!$I$15+1,0,'Book Income Statement'!O74)</f>
        <v>34196.121127399063</v>
      </c>
      <c r="P7" s="509">
        <f>IF(P4&gt;'Project Assumptions'!$I$15+1,0,'Book Income Statement'!P74)</f>
        <v>35074.085500374546</v>
      </c>
      <c r="Q7" s="509">
        <f>IF(Q4&gt;'Project Assumptions'!$I$15+1,0,'Book Income Statement'!Q74)</f>
        <v>35979.390246110423</v>
      </c>
      <c r="R7" s="509">
        <f>IF(R4&gt;'Project Assumptions'!$I$15+1,0,'Book Income Statement'!R74)</f>
        <v>36825.680636100595</v>
      </c>
      <c r="S7" s="509">
        <f>IF(S4&gt;'Project Assumptions'!$I$15+1,0,'Book Income Statement'!S74)</f>
        <v>37654.062658457246</v>
      </c>
      <c r="T7" s="509">
        <f>IF(T4&gt;'Project Assumptions'!$I$15+1,0,'Book Income Statement'!T74)</f>
        <v>38463.063884105308</v>
      </c>
      <c r="U7" s="509">
        <f>IF(U4&gt;'Project Assumptions'!$I$15+1,0,'Book Income Statement'!U74)</f>
        <v>39697.798001809635</v>
      </c>
      <c r="V7" s="509">
        <f>IF(V4&gt;'Project Assumptions'!$I$15+1,0,'Book Income Statement'!V74)</f>
        <v>41029.137389454467</v>
      </c>
      <c r="W7" s="509">
        <f>IF(W4&gt;'Project Assumptions'!$I$15+1,0,'Book Income Statement'!W74)</f>
        <v>41374.136437486515</v>
      </c>
      <c r="X7" s="509">
        <f>IF(X4&gt;'Project Assumptions'!$I$15+1,0,'Book Income Statement'!X74)</f>
        <v>11989.22152647345</v>
      </c>
      <c r="Y7" s="509">
        <f>IF(Y4&gt;'Project Assumptions'!$I$15+1,0,'Book Income Statement'!Y74)</f>
        <v>0</v>
      </c>
      <c r="Z7" s="509">
        <f>IF(Z4&gt;'Project Assumptions'!$I$15+1,0,'Book Income Statement'!Z74)</f>
        <v>0</v>
      </c>
      <c r="AA7" s="509">
        <f>IF(AA4&gt;'Project Assumptions'!$I$15+1,0,'Book Income Statement'!AA74)</f>
        <v>0</v>
      </c>
      <c r="AB7" s="510">
        <f>IF(AB4&gt;'Project Assumptions'!$I$15+1,0,'Book Income Statement'!AB74)</f>
        <v>0</v>
      </c>
      <c r="AC7" s="7"/>
      <c r="AD7" s="7"/>
    </row>
    <row r="8" spans="1:54" ht="12.6" customHeight="1">
      <c r="A8" s="188" t="s">
        <v>25</v>
      </c>
      <c r="B8" s="33"/>
      <c r="C8" s="508">
        <f>SUM(D8:AD8)</f>
        <v>156612.16809500003</v>
      </c>
      <c r="D8" s="46">
        <f>IF(D4&gt;'Project Assumptions'!$I$15+1,0,'Book Income Statement'!D67)</f>
        <v>4574.7769783333342</v>
      </c>
      <c r="E8" s="46">
        <f>IF(E4&gt;'Project Assumptions'!$I$15+1,0,'Book Income Statement'!E67)</f>
        <v>7842.4748200000013</v>
      </c>
      <c r="F8" s="46">
        <f>IF(F4&gt;'Project Assumptions'!$I$15+1,0,'Book Income Statement'!F67)</f>
        <v>7842.4748200000013</v>
      </c>
      <c r="G8" s="46">
        <f>IF(G4&gt;'Project Assumptions'!$I$15+1,0,'Book Income Statement'!G67)</f>
        <v>7842.4748200000013</v>
      </c>
      <c r="H8" s="46">
        <f>IF(H4&gt;'Project Assumptions'!$I$15+1,0,'Book Income Statement'!H67)</f>
        <v>7842.4748200000013</v>
      </c>
      <c r="I8" s="46">
        <f>IF(I4&gt;'Project Assumptions'!$I$15+1,0,'Book Income Statement'!I67)</f>
        <v>7662.3425366666679</v>
      </c>
      <c r="J8" s="46">
        <f>IF(J4&gt;'Project Assumptions'!$I$15+1,0,'Book Income Statement'!J67)</f>
        <v>7533.6766200000011</v>
      </c>
      <c r="K8" s="46">
        <f>IF(K4&gt;'Project Assumptions'!$I$15+1,0,'Book Income Statement'!K67)</f>
        <v>7533.6766200000011</v>
      </c>
      <c r="L8" s="46">
        <f>IF(L4&gt;'Project Assumptions'!$I$15+1,0,'Book Income Statement'!L67)</f>
        <v>7533.6766200000011</v>
      </c>
      <c r="M8" s="46">
        <f>IF(M4&gt;'Project Assumptions'!$I$15+1,0,'Book Income Statement'!M67)</f>
        <v>7533.6766200000011</v>
      </c>
      <c r="N8" s="46">
        <f>IF(N4&gt;'Project Assumptions'!$I$15+1,0,'Book Income Statement'!N67)</f>
        <v>7533.6766200000011</v>
      </c>
      <c r="O8" s="46">
        <f>IF(O4&gt;'Project Assumptions'!$I$15+1,0,'Book Income Statement'!O67)</f>
        <v>7533.6766200000011</v>
      </c>
      <c r="P8" s="46">
        <f>IF(P4&gt;'Project Assumptions'!$I$15+1,0,'Book Income Statement'!P67)</f>
        <v>7533.6766200000011</v>
      </c>
      <c r="Q8" s="46">
        <f>IF(Q4&gt;'Project Assumptions'!$I$15+1,0,'Book Income Statement'!Q67)</f>
        <v>7533.6766200000011</v>
      </c>
      <c r="R8" s="46">
        <f>IF(R4&gt;'Project Assumptions'!$I$15+1,0,'Book Income Statement'!R67)</f>
        <v>7533.6766200000011</v>
      </c>
      <c r="S8" s="46">
        <f>IF(S4&gt;'Project Assumptions'!$I$15+1,0,'Book Income Statement'!S67)</f>
        <v>7533.6766200000011</v>
      </c>
      <c r="T8" s="46">
        <f>IF(T4&gt;'Project Assumptions'!$I$15+1,0,'Book Income Statement'!T67)</f>
        <v>7533.6766200000011</v>
      </c>
      <c r="U8" s="46">
        <f>IF(U4&gt;'Project Assumptions'!$I$15+1,0,'Book Income Statement'!U67)</f>
        <v>7533.6766200000011</v>
      </c>
      <c r="V8" s="46">
        <f>IF(V4&gt;'Project Assumptions'!$I$15+1,0,'Book Income Statement'!V67)</f>
        <v>7533.6766200000011</v>
      </c>
      <c r="W8" s="46">
        <f>IF(W4&gt;'Project Assumptions'!$I$15+1,0,'Book Income Statement'!W67)</f>
        <v>7533.6766200000011</v>
      </c>
      <c r="X8" s="46">
        <f>IF(X4&gt;'Project Assumptions'!$I$15+1,0,'Book Income Statement'!X67)</f>
        <v>7533.6766200000011</v>
      </c>
      <c r="Y8" s="46">
        <f>IF(Y4&gt;'Project Assumptions'!$I$15+1,0,'Book Income Statement'!Y67)</f>
        <v>0</v>
      </c>
      <c r="Z8" s="46">
        <f>IF(Z4&gt;'Project Assumptions'!$I$15+1,0,'Book Income Statement'!Z67)</f>
        <v>0</v>
      </c>
      <c r="AA8" s="46">
        <f>IF(AA4&gt;'Project Assumptions'!$I$15+1,0,'Book Income Statement'!AA67)</f>
        <v>0</v>
      </c>
      <c r="AB8" s="426">
        <f>IF(AB4&gt;'Project Assumptions'!$I$15+1,0,'Book Income Statement'!AB67)</f>
        <v>0</v>
      </c>
      <c r="AC8" s="7"/>
      <c r="AD8" s="7"/>
      <c r="AF8" s="8"/>
      <c r="AH8" s="8"/>
      <c r="AL8" s="8"/>
      <c r="AU8" s="8"/>
    </row>
    <row r="9" spans="1:54" ht="12.6" customHeight="1">
      <c r="A9" s="188" t="s">
        <v>26</v>
      </c>
      <c r="B9" s="33"/>
      <c r="C9" s="508"/>
      <c r="D9" s="47">
        <f>IF(D4&gt;'Project Assumptions'!$I$15+1,0,'Book Income Statement'!D55)</f>
        <v>349.86902101560014</v>
      </c>
      <c r="E9" s="47">
        <f>IF(E4&gt;'Project Assumptions'!$I$15+1,0,'Book Income Statement'!E55)</f>
        <v>349.86902101560014</v>
      </c>
      <c r="F9" s="47">
        <f>IF(F4&gt;'Project Assumptions'!$I$15+1,0,'Book Income Statement'!F55)</f>
        <v>349.86902101560014</v>
      </c>
      <c r="G9" s="47">
        <f>IF(G4&gt;'Project Assumptions'!$I$15+1,0,'Book Income Statement'!G55)</f>
        <v>349.86902101560014</v>
      </c>
      <c r="H9" s="47">
        <f>IF(H4&gt;'Project Assumptions'!$I$15+1,0,'Book Income Statement'!H55)</f>
        <v>349.86902101560014</v>
      </c>
      <c r="I9" s="47">
        <f>IF(I4&gt;'Project Assumptions'!$I$15+1,0,'Book Income Statement'!I55)</f>
        <v>307.88473849372815</v>
      </c>
      <c r="J9" s="47">
        <f>IF(J4&gt;'Project Assumptions'!$I$15+1,0,'Book Income Statement'!J55)</f>
        <v>307.88473849372815</v>
      </c>
      <c r="K9" s="47">
        <f>IF(K4&gt;'Project Assumptions'!$I$15+1,0,'Book Income Statement'!K55)</f>
        <v>307.88473849372815</v>
      </c>
      <c r="L9" s="47">
        <f>IF(L4&gt;'Project Assumptions'!$I$15+1,0,'Book Income Statement'!L55)</f>
        <v>307.88473849372815</v>
      </c>
      <c r="M9" s="47">
        <f>IF(M4&gt;'Project Assumptions'!$I$15+1,0,'Book Income Statement'!M55)</f>
        <v>265.9004559718561</v>
      </c>
      <c r="N9" s="47">
        <f>IF(N4&gt;'Project Assumptions'!$I$15+1,0,'Book Income Statement'!N55)</f>
        <v>265.9004559718561</v>
      </c>
      <c r="O9" s="47">
        <f>IF(O4&gt;'Project Assumptions'!$I$15+1,0,'Book Income Statement'!O55)</f>
        <v>265.9004559718561</v>
      </c>
      <c r="P9" s="47">
        <f>IF(P4&gt;'Project Assumptions'!$I$15+1,0,'Book Income Statement'!P55)</f>
        <v>265.9004559718561</v>
      </c>
      <c r="Q9" s="47">
        <f>IF(Q4&gt;'Project Assumptions'!$I$15+1,0,'Book Income Statement'!Q55)</f>
        <v>223.91617344998411</v>
      </c>
      <c r="R9" s="47">
        <f>IF(R4&gt;'Project Assumptions'!$I$15+1,0,'Book Income Statement'!R55)</f>
        <v>223.91617344998411</v>
      </c>
      <c r="S9" s="47">
        <f>IF(S4&gt;'Project Assumptions'!$I$15+1,0,'Book Income Statement'!S55)</f>
        <v>223.91617344998411</v>
      </c>
      <c r="T9" s="47">
        <f>IF(T4&gt;'Project Assumptions'!$I$15+1,0,'Book Income Statement'!T55)</f>
        <v>223.91617344998411</v>
      </c>
      <c r="U9" s="47">
        <f>IF(U4&gt;'Project Assumptions'!$I$15+1,0,'Book Income Statement'!U55)</f>
        <v>181.9318909281121</v>
      </c>
      <c r="V9" s="47">
        <f>IF(V4&gt;'Project Assumptions'!$I$15+1,0,'Book Income Statement'!V55)</f>
        <v>181.9318909281121</v>
      </c>
      <c r="W9" s="47">
        <f>IF(W4&gt;'Project Assumptions'!$I$15+1,0,'Book Income Statement'!W55)</f>
        <v>181.9318909281121</v>
      </c>
      <c r="X9" s="47">
        <f>IF(X4&gt;'Project Assumptions'!$I$15+1,0,'Book Income Statement'!X55)</f>
        <v>181.9318909281121</v>
      </c>
      <c r="Y9" s="47">
        <f>IF(Y4&gt;'Project Assumptions'!$I$15+1,0,'Book Income Statement'!Y55)</f>
        <v>0</v>
      </c>
      <c r="Z9" s="47">
        <f>IF(Z4&gt;'Project Assumptions'!$I$15+1,0,'Book Income Statement'!Z55)</f>
        <v>0</v>
      </c>
      <c r="AA9" s="47">
        <f>IF(AA4&gt;'Project Assumptions'!$I$15+1,0,'Book Income Statement'!AA55)</f>
        <v>0</v>
      </c>
      <c r="AB9" s="433">
        <f>IF(AB4&gt;'Project Assumptions'!$I$15+1,0,'Book Income Statement'!AB55)</f>
        <v>0</v>
      </c>
      <c r="AC9" s="7"/>
      <c r="AD9" s="7"/>
      <c r="AF9" s="8"/>
      <c r="AH9" s="8"/>
      <c r="AL9" s="8"/>
      <c r="AU9" s="8"/>
    </row>
    <row r="10" spans="1:54" ht="12.6" customHeight="1">
      <c r="A10" s="188" t="s">
        <v>27</v>
      </c>
      <c r="B10" s="33"/>
      <c r="C10" s="508"/>
      <c r="D10" s="47">
        <f>IF(D4&gt;'Project Assumptions'!$I$15+1,0,0)</f>
        <v>0</v>
      </c>
      <c r="E10" s="47">
        <f>IF(E4&gt;'Project Assumptions'!$I$15+1,0,Depreciation!D51)</f>
        <v>349.86902101560014</v>
      </c>
      <c r="F10" s="47">
        <f>IF(F4&gt;'Project Assumptions'!$I$15+1,0,Depreciation!E51)</f>
        <v>349.86902101560014</v>
      </c>
      <c r="G10" s="47">
        <f>IF(G4&gt;'Project Assumptions'!$I$15+1,0,Depreciation!F51)</f>
        <v>349.86902101560014</v>
      </c>
      <c r="H10" s="47">
        <f>IF(H4&gt;'Project Assumptions'!$I$15+1,0,Depreciation!G51)</f>
        <v>349.86902101560014</v>
      </c>
      <c r="I10" s="47">
        <f>IF(I4&gt;'Project Assumptions'!$I$15+1,0,Depreciation!H51)</f>
        <v>349.86902101560014</v>
      </c>
      <c r="J10" s="47">
        <f>IF(J4&gt;'Project Assumptions'!$I$15+1,0,Depreciation!I51)</f>
        <v>307.88473849372815</v>
      </c>
      <c r="K10" s="47">
        <f>IF(K4&gt;'Project Assumptions'!$I$15+1,0,Depreciation!J51)</f>
        <v>307.88473849372815</v>
      </c>
      <c r="L10" s="47">
        <f>IF(L4&gt;'Project Assumptions'!$I$15+1,0,Depreciation!K51)</f>
        <v>307.88473849372815</v>
      </c>
      <c r="M10" s="47">
        <f>IF(M4&gt;'Project Assumptions'!$I$15+1,0,Depreciation!L51)</f>
        <v>307.88473849372815</v>
      </c>
      <c r="N10" s="47">
        <f>IF(N4&gt;'Project Assumptions'!$I$15+1,0,Depreciation!M51)</f>
        <v>265.9004559718561</v>
      </c>
      <c r="O10" s="47">
        <f>IF(O4&gt;'Project Assumptions'!$I$15+1,0,Depreciation!N51)</f>
        <v>265.9004559718561</v>
      </c>
      <c r="P10" s="47">
        <f>IF(P4&gt;'Project Assumptions'!$I$15+1,0,Depreciation!O51)</f>
        <v>265.9004559718561</v>
      </c>
      <c r="Q10" s="47">
        <f>IF(Q4&gt;'Project Assumptions'!$I$15+1,0,Depreciation!P51)</f>
        <v>265.9004559718561</v>
      </c>
      <c r="R10" s="47">
        <f>IF(R4&gt;'Project Assumptions'!$I$15+1,0,Depreciation!Q51)</f>
        <v>223.91617344998411</v>
      </c>
      <c r="S10" s="47">
        <f>IF(S4&gt;'Project Assumptions'!$I$15+1,0,Depreciation!R51)</f>
        <v>223.91617344998411</v>
      </c>
      <c r="T10" s="47">
        <f>IF(T4&gt;'Project Assumptions'!$I$15+1,0,Depreciation!S51)</f>
        <v>223.91617344998411</v>
      </c>
      <c r="U10" s="47">
        <f>IF(U4&gt;'Project Assumptions'!$I$15+1,0,Depreciation!T51)</f>
        <v>223.91617344998411</v>
      </c>
      <c r="V10" s="47">
        <f>IF(V4&gt;'Project Assumptions'!$I$15+1,0,Depreciation!U51)</f>
        <v>181.9318909281121</v>
      </c>
      <c r="W10" s="47">
        <f>IF(W4&gt;'Project Assumptions'!$I$15+1,0,Depreciation!V51)</f>
        <v>181.9318909281121</v>
      </c>
      <c r="X10" s="47">
        <f>IF(X4&gt;'Project Assumptions'!$I$15+1,0,Depreciation!W51)</f>
        <v>181.9318909281121</v>
      </c>
      <c r="Y10" s="47">
        <f>IF(Y4&gt;'Project Assumptions'!$I$15+1,0,Depreciation!X51)</f>
        <v>0</v>
      </c>
      <c r="Z10" s="47">
        <f>IF(Z4&gt;'Project Assumptions'!$I$15+1,0,Depreciation!Y51)</f>
        <v>0</v>
      </c>
      <c r="AA10" s="47">
        <f>IF(AA4&gt;'Project Assumptions'!$I$15+1,0,Depreciation!Z51)</f>
        <v>0</v>
      </c>
      <c r="AB10" s="433">
        <f>IF(AB4&gt;'Project Assumptions'!$I$15+1,0,Depreciation!AA51)</f>
        <v>0</v>
      </c>
      <c r="AC10" s="7"/>
      <c r="AD10" s="7"/>
      <c r="AF10" s="8"/>
      <c r="AP10" s="9"/>
      <c r="AQ10" s="9"/>
      <c r="AR10" s="9"/>
      <c r="AS10" s="9"/>
      <c r="AU10" s="8"/>
    </row>
    <row r="11" spans="1:54" ht="12.6" customHeight="1">
      <c r="A11" s="188" t="s">
        <v>28</v>
      </c>
      <c r="B11" s="33"/>
      <c r="C11" s="508">
        <f>SUM(D11:AD11)</f>
        <v>160058.13512800002</v>
      </c>
      <c r="D11" s="51">
        <f>IF(D4&gt;'Project Assumptions'!$I$15+1,0,'Book Income Statement'!D71)</f>
        <v>14192.0851</v>
      </c>
      <c r="E11" s="51">
        <f>IF(E4&gt;'Project Assumptions'!$I$15+1,0,'Book Income Statement'!E71)</f>
        <v>13694.519375</v>
      </c>
      <c r="F11" s="51">
        <f>IF(F4&gt;'Project Assumptions'!$I$15+1,0,'Book Income Statement'!F71)</f>
        <v>13196.953649999999</v>
      </c>
      <c r="G11" s="51">
        <f>IF(G4&gt;'Project Assumptions'!$I$15+1,0,'Book Income Statement'!G71)</f>
        <v>12493.446075</v>
      </c>
      <c r="H11" s="51">
        <f>IF(H4&gt;'Project Assumptions'!$I$15+1,0,'Book Income Statement'!H71)</f>
        <v>11583.996650000001</v>
      </c>
      <c r="I11" s="51">
        <f>IF(I4&gt;'Project Assumptions'!$I$15+1,0,'Book Income Statement'!I71)</f>
        <v>11010.453245999999</v>
      </c>
      <c r="J11" s="51">
        <f>IF(J4&gt;'Project Assumptions'!$I$15+1,0,'Book Income Statement'!J71)</f>
        <v>10436.909842000001</v>
      </c>
      <c r="K11" s="51">
        <f>IF(K4&gt;'Project Assumptions'!$I$15+1,0,'Book Income Statement'!K71)</f>
        <v>9782.5365860000002</v>
      </c>
      <c r="L11" s="51">
        <f>IF(L4&gt;'Project Assumptions'!$I$15+1,0,'Book Income Statement'!L71)</f>
        <v>9128.1633300000012</v>
      </c>
      <c r="M11" s="51">
        <f>IF(M4&gt;'Project Assumptions'!$I$15+1,0,'Book Income Statement'!M71)</f>
        <v>8061.9063740000001</v>
      </c>
      <c r="N11" s="51">
        <f>IF(N4&gt;'Project Assumptions'!$I$15+1,0,'Book Income Statement'!N71)</f>
        <v>6708.8777160000009</v>
      </c>
      <c r="O11" s="51">
        <f>IF(O4&gt;'Project Assumptions'!$I$15+1,0,'Book Income Statement'!O71)</f>
        <v>6385.5583080000006</v>
      </c>
      <c r="P11" s="51">
        <f>IF(P4&gt;'Project Assumptions'!$I$15+1,0,'Book Income Statement'!P71)</f>
        <v>5981.4090480000013</v>
      </c>
      <c r="Q11" s="51">
        <f>IF(Q4&gt;'Project Assumptions'!$I$15+1,0,'Book Income Statement'!Q71)</f>
        <v>5577.2597880000012</v>
      </c>
      <c r="R11" s="51">
        <f>IF(R4&gt;'Project Assumptions'!$I$15+1,0,'Book Income Statement'!R71)</f>
        <v>5173.110528000002</v>
      </c>
      <c r="S11" s="51">
        <f>IF(S4&gt;'Project Assumptions'!$I$15+1,0,'Book Income Statement'!S71)</f>
        <v>4768.9612680000018</v>
      </c>
      <c r="T11" s="51">
        <f>IF(T4&gt;'Project Assumptions'!$I$15+1,0,'Book Income Statement'!T71)</f>
        <v>4364.8120080000017</v>
      </c>
      <c r="U11" s="51">
        <f>IF(U4&gt;'Project Assumptions'!$I$15+1,0,'Book Income Statement'!U71)</f>
        <v>3556.5134880000019</v>
      </c>
      <c r="V11" s="51">
        <f>IF(V4&gt;'Project Assumptions'!$I$15+1,0,'Book Income Statement'!V71)</f>
        <v>2586.5552640000019</v>
      </c>
      <c r="W11" s="51">
        <f>IF(W4&gt;'Project Assumptions'!$I$15+1,0,'Book Income Statement'!W71)</f>
        <v>1374.1074840000022</v>
      </c>
      <c r="X11" s="51">
        <f>IF(X4&gt;'Project Assumptions'!$I$15+1,0,'Book Income Statement'!X71)</f>
        <v>0</v>
      </c>
      <c r="Y11" s="51">
        <f>IF(Y4&gt;'Project Assumptions'!$I$15+1,0,'Book Income Statement'!Y71)</f>
        <v>0</v>
      </c>
      <c r="Z11" s="51">
        <f>IF(Z4&gt;'Project Assumptions'!$I$15+1,0,'Book Income Statement'!Z71)</f>
        <v>0</v>
      </c>
      <c r="AA11" s="51">
        <f>IF(AA4&gt;'Project Assumptions'!$I$15+1,0,'Book Income Statement'!AA71)</f>
        <v>0</v>
      </c>
      <c r="AB11" s="511">
        <f>IF(AB4&gt;'Project Assumptions'!$I$15+1,0,'Book Income Statement'!AB71)</f>
        <v>0</v>
      </c>
      <c r="AC11" s="7"/>
      <c r="AD11" s="7"/>
      <c r="AF11" s="8"/>
      <c r="AU11" s="8"/>
    </row>
    <row r="12" spans="1:54" ht="12.6" customHeight="1">
      <c r="A12" s="188"/>
      <c r="B12" s="33"/>
      <c r="C12" s="508"/>
      <c r="D12" s="51"/>
      <c r="E12" s="51"/>
      <c r="F12" s="51"/>
      <c r="G12" s="51"/>
      <c r="H12" s="51"/>
      <c r="I12" s="51"/>
      <c r="J12" s="51"/>
      <c r="K12" s="51"/>
      <c r="L12" s="51"/>
      <c r="M12" s="51"/>
      <c r="N12" s="51"/>
      <c r="O12" s="51"/>
      <c r="P12" s="51"/>
      <c r="Q12" s="51"/>
      <c r="R12" s="51"/>
      <c r="S12" s="51"/>
      <c r="T12" s="51"/>
      <c r="U12" s="51"/>
      <c r="V12" s="51"/>
      <c r="W12" s="51"/>
      <c r="X12" s="51"/>
      <c r="Y12" s="51"/>
      <c r="Z12" s="51"/>
      <c r="AA12" s="51"/>
      <c r="AB12" s="511"/>
      <c r="AC12" s="18"/>
      <c r="AD12" s="18"/>
      <c r="AE12" s="18"/>
      <c r="AF12" s="18"/>
      <c r="AU12" s="8"/>
    </row>
    <row r="13" spans="1:54" ht="12.6" customHeight="1">
      <c r="A13" s="188" t="s">
        <v>29</v>
      </c>
      <c r="B13" s="33"/>
      <c r="C13" s="508">
        <f>SUM(D13:AD13)</f>
        <v>160058.13512800002</v>
      </c>
      <c r="D13" s="51">
        <f>IF(D4&gt;'Project Assumptions'!$I$15+1,0,'Debt Amortization'!E$52)</f>
        <v>14192.0851</v>
      </c>
      <c r="E13" s="51">
        <f>IF(E4&gt;'Project Assumptions'!$I$15+1,0,'Debt Amortization'!F$52)</f>
        <v>13694.519375</v>
      </c>
      <c r="F13" s="51">
        <f>IF(F4&gt;'Project Assumptions'!$I$15+1,0,'Debt Amortization'!G$52)</f>
        <v>13196.953649999999</v>
      </c>
      <c r="G13" s="51">
        <f>IF(G4&gt;'Project Assumptions'!$I$15+1,0,'Debt Amortization'!H$52)</f>
        <v>12493.446075</v>
      </c>
      <c r="H13" s="51">
        <f>IF(H4&gt;'Project Assumptions'!$I$15+1,0,'Debt Amortization'!I$52)</f>
        <v>11583.996650000001</v>
      </c>
      <c r="I13" s="51">
        <f>IF(I4&gt;'Project Assumptions'!$I$15+1,0,'Debt Amortization'!J$52)</f>
        <v>11010.453245999999</v>
      </c>
      <c r="J13" s="51">
        <f>IF(J4&gt;'Project Assumptions'!$I$15+1,0,'Debt Amortization'!K$52)</f>
        <v>10436.909842000001</v>
      </c>
      <c r="K13" s="51">
        <f>IF(K4&gt;'Project Assumptions'!$I$15+1,0,'Debt Amortization'!L$52)</f>
        <v>9782.5365860000002</v>
      </c>
      <c r="L13" s="51">
        <f>IF(L4&gt;'Project Assumptions'!$I$15+1,0,'Debt Amortization'!M$52)</f>
        <v>9128.1633300000012</v>
      </c>
      <c r="M13" s="51">
        <f>IF(M4&gt;'Project Assumptions'!$I$15+1,0,'Debt Amortization'!N$52)</f>
        <v>8061.9063740000001</v>
      </c>
      <c r="N13" s="51">
        <f>IF(N4&gt;'Project Assumptions'!$I$15+1,0,'Debt Amortization'!O$52)</f>
        <v>6708.8777160000009</v>
      </c>
      <c r="O13" s="51">
        <f>IF(O4&gt;'Project Assumptions'!$I$15+1,0,'Debt Amortization'!P$52)</f>
        <v>6385.5583080000006</v>
      </c>
      <c r="P13" s="51">
        <f>IF(P4&gt;'Project Assumptions'!$I$15+1,0,'Debt Amortization'!Q$52)</f>
        <v>5981.4090480000013</v>
      </c>
      <c r="Q13" s="51">
        <f>IF(Q4&gt;'Project Assumptions'!$I$15+1,0,'Debt Amortization'!R$52)</f>
        <v>5577.2597880000012</v>
      </c>
      <c r="R13" s="51">
        <f>IF(R4&gt;'Project Assumptions'!$I$15+1,0,'Debt Amortization'!S$52)</f>
        <v>5173.110528000002</v>
      </c>
      <c r="S13" s="51">
        <f>IF(S4&gt;'Project Assumptions'!$I$15+1,0,'Debt Amortization'!T$52)</f>
        <v>4768.9612680000018</v>
      </c>
      <c r="T13" s="51">
        <f>IF(T4&gt;'Project Assumptions'!$I$15+1,0,'Debt Amortization'!U$52)</f>
        <v>4364.8120080000017</v>
      </c>
      <c r="U13" s="51">
        <f>IF(U4&gt;'Project Assumptions'!$I$15+1,0,'Debt Amortization'!V$52)</f>
        <v>3556.5134880000019</v>
      </c>
      <c r="V13" s="51">
        <f>IF(V4&gt;'Project Assumptions'!$I$15+1,0,'Debt Amortization'!W$52)</f>
        <v>2586.5552640000019</v>
      </c>
      <c r="W13" s="51">
        <f>IF(W4&gt;'Project Assumptions'!$I$15+1,0,'Debt Amortization'!X$52)</f>
        <v>1374.1074840000022</v>
      </c>
      <c r="X13" s="51">
        <f>IF(X4&gt;'Project Assumptions'!$I$15+1,0,'Debt Amortization'!Y$52)</f>
        <v>0</v>
      </c>
      <c r="Y13" s="51">
        <f>IF(Y4&gt;'Project Assumptions'!$I$15+1,0,'Debt Amortization'!Z$52)</f>
        <v>0</v>
      </c>
      <c r="Z13" s="51">
        <f>IF(Z4&gt;'Project Assumptions'!$I$15+1,0,'Debt Amortization'!AA$52)</f>
        <v>0</v>
      </c>
      <c r="AA13" s="51">
        <f>IF(AA4&gt;'Project Assumptions'!$I$15+1,0,'Debt Amortization'!AB$52)</f>
        <v>0</v>
      </c>
      <c r="AB13" s="51">
        <f>IF(AB4&gt;'Project Assumptions'!$I$15+1,0,'Debt Amortization'!AC$52)</f>
        <v>0</v>
      </c>
      <c r="AC13" s="7"/>
      <c r="AD13" s="7"/>
      <c r="AF13" s="8"/>
      <c r="AP13" s="9"/>
      <c r="AQ13" s="9"/>
      <c r="AR13" s="9"/>
      <c r="AS13" s="9"/>
      <c r="AU13" s="8"/>
    </row>
    <row r="14" spans="1:54" ht="12.6" customHeight="1">
      <c r="A14" s="420" t="s">
        <v>30</v>
      </c>
      <c r="B14" s="33"/>
      <c r="C14" s="509">
        <f>SUM(D14:AB14)</f>
        <v>182796.99999999997</v>
      </c>
      <c r="D14" s="512">
        <f>IF(D4&gt;'Project Assumptions'!$I$15+1,0,'Debt Amortization'!E$53)</f>
        <v>7393.25</v>
      </c>
      <c r="E14" s="512">
        <f>IF(E4&gt;'Project Assumptions'!$I$15+1,0,'Debt Amortization'!F$53)</f>
        <v>7393.25</v>
      </c>
      <c r="F14" s="512">
        <f>IF(F4&gt;'Project Assumptions'!$I$15+1,0,'Debt Amortization'!G$53)</f>
        <v>10113.75</v>
      </c>
      <c r="G14" s="512">
        <f>IF(G4&gt;'Project Assumptions'!$I$15+1,0,'Debt Amortization'!H$53)</f>
        <v>12834.25</v>
      </c>
      <c r="H14" s="512">
        <f>IF(H4&gt;'Project Assumptions'!$I$15+1,0,'Debt Amortization'!I$53)</f>
        <v>7417.28</v>
      </c>
      <c r="I14" s="512">
        <f>IF(I4&gt;'Project Assumptions'!$I$15+1,0,'Debt Amortization'!J$53)</f>
        <v>7417.28</v>
      </c>
      <c r="J14" s="512">
        <f>IF(J4&gt;'Project Assumptions'!$I$15+1,0,'Debt Amortization'!K$53)</f>
        <v>8405.42</v>
      </c>
      <c r="K14" s="512">
        <f>IF(K4&gt;'Project Assumptions'!$I$15+1,0,'Debt Amortization'!L$53)</f>
        <v>8405.42</v>
      </c>
      <c r="L14" s="512">
        <f>IF(L4&gt;'Project Assumptions'!$I$15+1,0,'Debt Amortization'!M$53)</f>
        <v>13846.42</v>
      </c>
      <c r="M14" s="512">
        <f>IF(M4&gt;'Project Assumptions'!$I$15+1,0,'Debt Amortization'!N$53)</f>
        <v>17555.060000000001</v>
      </c>
      <c r="N14" s="512">
        <f>IF(N4&gt;'Project Assumptions'!$I$15+1,0,'Debt Amortization'!O$53)</f>
        <v>3952.56</v>
      </c>
      <c r="O14" s="512">
        <f>IF(O4&gt;'Project Assumptions'!$I$15+1,0,'Debt Amortization'!P$53)</f>
        <v>4940.7000000000007</v>
      </c>
      <c r="P14" s="512">
        <f>IF(P4&gt;'Project Assumptions'!$I$15+1,0,'Debt Amortization'!Q$53)</f>
        <v>4940.7000000000007</v>
      </c>
      <c r="Q14" s="512">
        <f>IF(Q4&gt;'Project Assumptions'!$I$15+1,0,'Debt Amortization'!R$53)</f>
        <v>4940.7000000000007</v>
      </c>
      <c r="R14" s="512">
        <f>IF(R4&gt;'Project Assumptions'!$I$15+1,0,'Debt Amortization'!S$53)</f>
        <v>4940.7000000000007</v>
      </c>
      <c r="S14" s="512">
        <f>IF(S4&gt;'Project Assumptions'!$I$15+1,0,'Debt Amortization'!T$53)</f>
        <v>4940.7000000000007</v>
      </c>
      <c r="T14" s="512">
        <f>IF(T4&gt;'Project Assumptions'!$I$15+1,0,'Debt Amortization'!U$53)</f>
        <v>9881.4000000000015</v>
      </c>
      <c r="U14" s="512">
        <f>IF(U4&gt;'Project Assumptions'!$I$15+1,0,'Debt Amortization'!V$53)</f>
        <v>11857.68</v>
      </c>
      <c r="V14" s="512">
        <f>IF(V4&gt;'Project Assumptions'!$I$15+1,0,'Debt Amortization'!W$53)</f>
        <v>14822.099999999999</v>
      </c>
      <c r="W14" s="512">
        <f>IF(W4&gt;'Project Assumptions'!$I$15+1,0,'Debt Amortization'!X$53)</f>
        <v>16798.38</v>
      </c>
      <c r="X14" s="512">
        <f>IF(X4&gt;'Project Assumptions'!$I$15+1,0,'Debt Amortization'!Y$53)</f>
        <v>0</v>
      </c>
      <c r="Y14" s="512">
        <f>IF(Y4&gt;'Project Assumptions'!$I$15+1,0,'Debt Amortization'!Z$53)</f>
        <v>0</v>
      </c>
      <c r="Z14" s="512">
        <f>IF(Z4&gt;'Project Assumptions'!$I$15+1,0,'Debt Amortization'!AA$53)</f>
        <v>0</v>
      </c>
      <c r="AA14" s="512">
        <f>IF(AA4&gt;'Project Assumptions'!$I$15+1,0,'Debt Amortization'!AB$53)</f>
        <v>0</v>
      </c>
      <c r="AB14" s="513">
        <f>IF(AB4&gt;'Project Assumptions'!$I$15+1,0,'Debt Amortization'!AC$53)</f>
        <v>0</v>
      </c>
      <c r="AF14" s="8"/>
      <c r="AU14" s="8"/>
    </row>
    <row r="15" spans="1:54" ht="12.6" customHeight="1">
      <c r="A15" s="418" t="s">
        <v>134</v>
      </c>
      <c r="B15" s="33"/>
      <c r="C15" s="509"/>
      <c r="D15" s="51">
        <f>IF(D4&gt;'Project Assumptions'!$I$15+1,0,D7+D8+D9-D10+D11+D12-D13-D14)</f>
        <v>-6468.4251510931717</v>
      </c>
      <c r="E15" s="51">
        <f>IF(E4&gt;'Project Assumptions'!$I$15+1,0,E7+E8+E9-E10+E11+E12-E13-E14)</f>
        <v>5559.0788126314401</v>
      </c>
      <c r="F15" s="51">
        <f>IF(F4&gt;'Project Assumptions'!$I$15+1,0,F7+F8+F9-F10+F11+F12-F13-F14)</f>
        <v>3261.9055814248422</v>
      </c>
      <c r="G15" s="51">
        <f>IF(G4&gt;'Project Assumptions'!$I$15+1,0,G7+G8+G9-G10+G11+G12-G13-G14)</f>
        <v>11278.464454438923</v>
      </c>
      <c r="H15" s="51">
        <f>IF(H4&gt;'Project Assumptions'!$I$15+1,0,H7+H8+H9-H10+H11+H12-H13-H14)</f>
        <v>25387.124318847738</v>
      </c>
      <c r="I15" s="51">
        <f>IF(I4&gt;'Project Assumptions'!$I$15+1,0,I7+I8+I9-I10+I11+I12-I13-I14)</f>
        <v>27305.188421331157</v>
      </c>
      <c r="J15" s="51">
        <f>IF(J4&gt;'Project Assumptions'!$I$15+1,0,J7+J8+J9-J10+J11+J12-J13-J14)</f>
        <v>26676.362579124718</v>
      </c>
      <c r="K15" s="51">
        <f>IF(K4&gt;'Project Assumptions'!$I$15+1,0,K7+K8+K9-K10+K11+K12-K13-K14)</f>
        <v>27862.492611291011</v>
      </c>
      <c r="L15" s="51">
        <f>IF(L4&gt;'Project Assumptions'!$I$15+1,0,L7+L8+L9-L10+L11+L12-L13-L14)</f>
        <v>23598.229169049118</v>
      </c>
      <c r="M15" s="51">
        <f>IF(M4&gt;'Project Assumptions'!$I$15+1,0,M7+M8+M9-M10+M11+M12-M13-M14)</f>
        <v>21468.298566367532</v>
      </c>
      <c r="N15" s="51">
        <f>IF(N4&gt;'Project Assumptions'!$I$15+1,0,N7+N8+N9-N10+N11+N12-N13-N14)</f>
        <v>36966.207213895213</v>
      </c>
      <c r="O15" s="51">
        <f>IF(O4&gt;'Project Assumptions'!$I$15+1,0,O7+O8+O9-O10+O11+O12-O13-O14)</f>
        <v>36789.097747399064</v>
      </c>
      <c r="P15" s="51">
        <f>IF(P4&gt;'Project Assumptions'!$I$15+1,0,P7+P8+P9-P10+P11+P12-P13-P14)</f>
        <v>37667.06212037454</v>
      </c>
      <c r="Q15" s="51">
        <f>IF(Q4&gt;'Project Assumptions'!$I$15+1,0,Q7+Q8+Q9-Q10+Q11+Q12-Q13-Q14)</f>
        <v>38530.382583588551</v>
      </c>
      <c r="R15" s="51">
        <f>IF(R4&gt;'Project Assumptions'!$I$15+1,0,R7+R8+R9-R10+R11+R12-R13-R14)</f>
        <v>39418.657256100589</v>
      </c>
      <c r="S15" s="51">
        <f>IF(S4&gt;'Project Assumptions'!$I$15+1,0,S7+S8+S9-S10+S11+S12-S13-S14)</f>
        <v>40247.039278457247</v>
      </c>
      <c r="T15" s="51">
        <f>IF(T4&gt;'Project Assumptions'!$I$15+1,0,T7+T8+T9-T10+T11+T12-T13-T14)</f>
        <v>36115.340504105305</v>
      </c>
      <c r="U15" s="51">
        <f>IF(U4&gt;'Project Assumptions'!$I$15+1,0,U7+U8+U9-U10+U11+U12-U13-U14)</f>
        <v>35331.81033928776</v>
      </c>
      <c r="V15" s="51">
        <f>IF(V4&gt;'Project Assumptions'!$I$15+1,0,V7+V8+V9-V10+V11+V12-V13-V14)</f>
        <v>33740.714009454467</v>
      </c>
      <c r="W15" s="51">
        <f>IF(W4&gt;'Project Assumptions'!$I$15+1,0,W7+W8+W9-W10+W11+W12-W13-W14)</f>
        <v>32109.433057486513</v>
      </c>
      <c r="X15" s="51">
        <f>IF(X4&gt;'Project Assumptions'!$I$15+1,0,X7+X8+X9-X10+X11+X12-X13-X14)</f>
        <v>19522.89814647345</v>
      </c>
      <c r="Y15" s="51">
        <f>IF(Y4&gt;'Project Assumptions'!$I$15+1,0,Y7+Y8+Y9-Y10+Y11+Y12-Y13-Y14)</f>
        <v>0</v>
      </c>
      <c r="Z15" s="51">
        <f>IF(Z4&gt;'Project Assumptions'!$I$15+1,0,Z7+Z8+Z9-Z10+Z11+Z12-Z13-Z14)</f>
        <v>0</v>
      </c>
      <c r="AA15" s="51">
        <f>IF(AA4&gt;'Project Assumptions'!$I$15+1,0,AA7+AA8+AA9-AA10+AA11+AA12-AA13-AA14)</f>
        <v>0</v>
      </c>
      <c r="AB15" s="511">
        <f>IF(AB4&gt;'Project Assumptions'!$I$15+1,0,AB7+AB8+AB9-AB10+AB11+AB12-AB13-AB14)</f>
        <v>0</v>
      </c>
      <c r="AC15"/>
      <c r="AD15"/>
      <c r="AE15"/>
      <c r="AF15"/>
      <c r="AG15"/>
      <c r="AU15" s="8"/>
    </row>
    <row r="16" spans="1:54" ht="12.6" customHeight="1">
      <c r="A16" s="420"/>
      <c r="B16" s="33"/>
      <c r="C16" s="509"/>
      <c r="D16" s="51"/>
      <c r="E16" s="51"/>
      <c r="F16" s="51"/>
      <c r="G16" s="51"/>
      <c r="H16" s="51"/>
      <c r="I16" s="51"/>
      <c r="J16" s="51"/>
      <c r="K16" s="51"/>
      <c r="L16" s="51"/>
      <c r="M16" s="51"/>
      <c r="N16" s="51"/>
      <c r="O16" s="51"/>
      <c r="P16" s="51"/>
      <c r="Q16" s="51"/>
      <c r="R16" s="51"/>
      <c r="S16" s="51"/>
      <c r="T16" s="51"/>
      <c r="U16" s="51"/>
      <c r="V16" s="51"/>
      <c r="W16" s="51"/>
      <c r="X16" s="51"/>
      <c r="Y16" s="51"/>
      <c r="Z16" s="51"/>
      <c r="AA16" s="51"/>
      <c r="AB16" s="511"/>
      <c r="AF16" s="8"/>
      <c r="AU16" s="8"/>
    </row>
    <row r="17" spans="1:47" ht="12.6" customHeight="1">
      <c r="A17" s="420" t="s">
        <v>133</v>
      </c>
      <c r="B17" s="33"/>
      <c r="C17" s="509"/>
      <c r="D17" s="51">
        <v>0</v>
      </c>
      <c r="E17" s="51">
        <v>0</v>
      </c>
      <c r="F17" s="51">
        <v>0</v>
      </c>
      <c r="G17" s="51">
        <v>0</v>
      </c>
      <c r="H17" s="51">
        <v>0</v>
      </c>
      <c r="I17" s="51">
        <v>0</v>
      </c>
      <c r="J17" s="51">
        <v>0</v>
      </c>
      <c r="K17" s="51">
        <v>0</v>
      </c>
      <c r="L17" s="51">
        <v>0</v>
      </c>
      <c r="M17" s="51">
        <v>0</v>
      </c>
      <c r="N17" s="51">
        <v>0</v>
      </c>
      <c r="O17" s="51">
        <v>0</v>
      </c>
      <c r="P17" s="51">
        <v>0</v>
      </c>
      <c r="Q17" s="51">
        <v>0</v>
      </c>
      <c r="R17" s="51">
        <v>0</v>
      </c>
      <c r="S17" s="51">
        <v>0</v>
      </c>
      <c r="T17" s="51">
        <v>0</v>
      </c>
      <c r="U17" s="51">
        <v>0</v>
      </c>
      <c r="V17" s="51">
        <v>0</v>
      </c>
      <c r="W17" s="51">
        <v>0</v>
      </c>
      <c r="X17" s="51">
        <v>0</v>
      </c>
      <c r="Y17" s="51">
        <v>0</v>
      </c>
      <c r="Z17" s="51">
        <v>0</v>
      </c>
      <c r="AA17" s="51">
        <v>0</v>
      </c>
      <c r="AB17" s="51">
        <v>0</v>
      </c>
      <c r="AF17" s="8"/>
      <c r="AU17" s="8"/>
    </row>
    <row r="18" spans="1:47" s="10" customFormat="1" ht="12.6" customHeight="1">
      <c r="A18" s="420" t="s">
        <v>135</v>
      </c>
      <c r="B18" s="33"/>
      <c r="C18" s="508">
        <f>SUM(D18:AD18)</f>
        <v>0</v>
      </c>
      <c r="D18" s="51">
        <v>0</v>
      </c>
      <c r="E18" s="51">
        <v>0</v>
      </c>
      <c r="F18" s="51">
        <v>0</v>
      </c>
      <c r="G18" s="51">
        <v>0</v>
      </c>
      <c r="H18" s="51">
        <v>0</v>
      </c>
      <c r="I18" s="51">
        <v>0</v>
      </c>
      <c r="J18" s="51">
        <v>0</v>
      </c>
      <c r="K18" s="51">
        <v>0</v>
      </c>
      <c r="L18" s="51">
        <v>0</v>
      </c>
      <c r="M18" s="51">
        <v>0</v>
      </c>
      <c r="N18" s="51">
        <v>0</v>
      </c>
      <c r="O18" s="51">
        <v>0</v>
      </c>
      <c r="P18" s="51">
        <v>0</v>
      </c>
      <c r="Q18" s="51">
        <v>0</v>
      </c>
      <c r="R18" s="51">
        <v>0</v>
      </c>
      <c r="S18" s="51">
        <v>0</v>
      </c>
      <c r="T18" s="51">
        <v>0</v>
      </c>
      <c r="U18" s="51">
        <v>0</v>
      </c>
      <c r="V18" s="51">
        <v>0</v>
      </c>
      <c r="W18" s="51">
        <v>0</v>
      </c>
      <c r="X18" s="51">
        <v>0</v>
      </c>
      <c r="Y18" s="51">
        <v>0</v>
      </c>
      <c r="Z18" s="51">
        <v>0</v>
      </c>
      <c r="AA18" s="51">
        <v>0</v>
      </c>
      <c r="AB18" s="51">
        <v>0</v>
      </c>
      <c r="AF18" s="11"/>
      <c r="AU18" s="11"/>
    </row>
    <row r="19" spans="1:47" s="10" customFormat="1" ht="12.6" customHeight="1">
      <c r="A19" s="420" t="s">
        <v>136</v>
      </c>
      <c r="B19" s="33"/>
      <c r="C19" s="508"/>
      <c r="D19" s="51">
        <v>0</v>
      </c>
      <c r="E19" s="51">
        <v>0</v>
      </c>
      <c r="F19" s="51">
        <v>0</v>
      </c>
      <c r="G19" s="51">
        <v>0</v>
      </c>
      <c r="H19" s="51">
        <v>0</v>
      </c>
      <c r="I19" s="51">
        <v>0</v>
      </c>
      <c r="J19" s="51">
        <v>0</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1">
        <v>0</v>
      </c>
      <c r="AF19" s="11"/>
      <c r="AU19" s="11"/>
    </row>
    <row r="20" spans="1:47" ht="12.6" customHeight="1">
      <c r="A20" s="420"/>
      <c r="B20" s="33"/>
      <c r="C20" s="508"/>
      <c r="D20" s="479"/>
      <c r="E20" s="33"/>
      <c r="F20" s="33"/>
      <c r="G20" s="33"/>
      <c r="H20" s="33"/>
      <c r="I20" s="33"/>
      <c r="J20" s="33"/>
      <c r="K20" s="33"/>
      <c r="L20" s="33"/>
      <c r="M20" s="33"/>
      <c r="N20" s="33"/>
      <c r="O20" s="33"/>
      <c r="P20" s="33"/>
      <c r="Q20" s="33"/>
      <c r="R20" s="33"/>
      <c r="S20" s="33"/>
      <c r="T20" s="33"/>
      <c r="U20" s="33"/>
      <c r="V20" s="33"/>
      <c r="W20" s="33"/>
      <c r="X20" s="33"/>
      <c r="Y20" s="33"/>
      <c r="Z20" s="33"/>
      <c r="AA20" s="33"/>
      <c r="AB20" s="414"/>
      <c r="AF20" s="8"/>
      <c r="AU20" s="8"/>
    </row>
    <row r="21" spans="1:47" ht="12.6" customHeight="1">
      <c r="A21" s="424" t="s">
        <v>31</v>
      </c>
      <c r="B21" s="514"/>
      <c r="C21" s="480">
        <f>SUM(C7:C14)</f>
        <v>1237895.6999851081</v>
      </c>
      <c r="D21" s="46">
        <f>IF(D4&gt;'Project Assumptions'!$I$15+1,0,D7+D8+D9-D10+D11+D12-D13-D14-D18-D19-D17)</f>
        <v>-6468.4251510931717</v>
      </c>
      <c r="E21" s="46">
        <f>IF(E4&gt;'Project Assumptions'!$I$15+1,0,E7+E8+E9-E10+E11+E12-E13-E14-E18-E19-E17)</f>
        <v>5559.0788126314401</v>
      </c>
      <c r="F21" s="46">
        <f>IF(F4&gt;'Project Assumptions'!$I$15+1,0,F7+F8+F9-F10+F11+F12-F13-F14-F18-F19-F17)</f>
        <v>3261.9055814248422</v>
      </c>
      <c r="G21" s="46">
        <f>IF(G4&gt;'Project Assumptions'!$I$15+1,0,G7+G8+G9-G10+G11+G12-G13-G14-G18-G19-G17)</f>
        <v>11278.464454438923</v>
      </c>
      <c r="H21" s="46">
        <f>IF(H4&gt;'Project Assumptions'!$I$15+1,0,H7+H8+H9-H10+H11+H12-H13-H14-H18-H19-H17)</f>
        <v>25387.124318847738</v>
      </c>
      <c r="I21" s="46">
        <f>IF(I4&gt;'Project Assumptions'!$I$15+1,0,I7+I8+I9-I10+I11+I12-I13-I14-I18-I19-I17)</f>
        <v>27305.188421331157</v>
      </c>
      <c r="J21" s="46">
        <f>IF(J4&gt;'Project Assumptions'!$I$15+1,0,J7+J8+J9-J10+J11+J12-J13-J14-J18-J19-J17)</f>
        <v>26676.362579124718</v>
      </c>
      <c r="K21" s="46">
        <f>IF(K4&gt;'Project Assumptions'!$I$15+1,0,K7+K8+K9-K10+K11+K12-K13-K14-K18-K19-K17)</f>
        <v>27862.492611291011</v>
      </c>
      <c r="L21" s="46">
        <f>IF(L4&gt;'Project Assumptions'!$I$15+1,0,L7+L8+L9-L10+L11+L12-L13-L14-L18-L19-L17)</f>
        <v>23598.229169049118</v>
      </c>
      <c r="M21" s="46">
        <f>IF(M4&gt;'Project Assumptions'!$I$15+1,0,M7+M8+M9-M10+M11+M12-M13-M14-M18-M19-M17)</f>
        <v>21468.298566367532</v>
      </c>
      <c r="N21" s="46">
        <f>IF(N4&gt;'Project Assumptions'!$I$15+1,0,N7+N8+N9-N10+N11+N12-N13-N14-N18-N19-N17)</f>
        <v>36966.207213895213</v>
      </c>
      <c r="O21" s="46">
        <f>IF(O4&gt;'Project Assumptions'!$I$15+1,0,O7+O8+O9-O10+O11+O12-O13-O14-O18-O19-O17)</f>
        <v>36789.097747399064</v>
      </c>
      <c r="P21" s="46">
        <f>IF(P4&gt;'Project Assumptions'!$I$15+1,0,P7+P8+P9-P10+P11+P12-P13-P14-P18-P19-P17)</f>
        <v>37667.06212037454</v>
      </c>
      <c r="Q21" s="46">
        <f>IF(Q4&gt;'Project Assumptions'!$I$15+1,0,Q7+Q8+Q9-Q10+Q11+Q12-Q13-Q14-Q18-Q19-Q17)</f>
        <v>38530.382583588551</v>
      </c>
      <c r="R21" s="46">
        <f>IF(R4&gt;'Project Assumptions'!$I$15+1,0,R7+R8+R9-R10+R11+R12-R13-R14-R18-R19-R17)</f>
        <v>39418.657256100589</v>
      </c>
      <c r="S21" s="46">
        <f>IF(S4&gt;'Project Assumptions'!$I$15+1,0,S7+S8+S9-S10+S11+S12-S13-S14-S18-S19-S17)</f>
        <v>40247.039278457247</v>
      </c>
      <c r="T21" s="46">
        <f>IF(T4&gt;'Project Assumptions'!$I$15+1,0,T7+T8+T9-T10+T11+T12-T13-T14-T18-T19-T17)</f>
        <v>36115.340504105305</v>
      </c>
      <c r="U21" s="46">
        <f>IF(U4&gt;'Project Assumptions'!$I$15+1,0,U7+U8+U9-U10+U11+U12-U13-U14-U18-U19-U17)</f>
        <v>35331.81033928776</v>
      </c>
      <c r="V21" s="46">
        <f>IF(V4&gt;'Project Assumptions'!$I$15+1,0,V7+V8+V9-V10+V11+V12-V13-V14-V18-V19-V17)</f>
        <v>33740.714009454467</v>
      </c>
      <c r="W21" s="46">
        <f>IF(W4&gt;'Project Assumptions'!$I$15+1,0,W7+W8+W9-W10+W11+W12-W13-W14-W18-W19-W17)</f>
        <v>32109.433057486513</v>
      </c>
      <c r="X21" s="46">
        <f>IF(X4&gt;'Project Assumptions'!$I$15+1,0,X7+X8+X9-X10+X11+X12-X13-X14-X18-X19-X17)</f>
        <v>19522.89814647345</v>
      </c>
      <c r="Y21" s="46">
        <f>IF(Y4&gt;'Project Assumptions'!$I$15+1,0,Y7+Y8+Y9-Y10+Y11+Y12-Y13-Y14-Y18-Y19-Y17)</f>
        <v>0</v>
      </c>
      <c r="Z21" s="46">
        <f>IF(Z4&gt;'Project Assumptions'!$I$15+1,0,Z7+Z8+Z9-Z10+Z11+Z12-Z13-Z14-Z18-Z19-Z17)</f>
        <v>0</v>
      </c>
      <c r="AA21" s="46">
        <f>IF(AA4&gt;'Project Assumptions'!$I$15+1,0,AA7+AA8+AA9-AA10+AA11+AA12-AA13-AA14-AA18-AA19-AA17)</f>
        <v>0</v>
      </c>
      <c r="AB21" s="426">
        <f>IF(AB4&gt;'Project Assumptions'!$I$15+1,0,AB7+AB8+AB9-AB10+AB11+AB12-AB13-AB14-AB18-AB19-AB17)</f>
        <v>0</v>
      </c>
      <c r="AC21" s="7"/>
      <c r="AD21" s="7"/>
      <c r="AF21" s="8"/>
      <c r="AP21" s="9"/>
      <c r="AQ21" s="9"/>
      <c r="AR21" s="9"/>
      <c r="AS21" s="9"/>
      <c r="AU21" s="8"/>
    </row>
    <row r="22" spans="1:47" s="12" customFormat="1" ht="12.6" customHeight="1">
      <c r="A22" s="420" t="s">
        <v>137</v>
      </c>
      <c r="B22" s="56"/>
      <c r="C22" s="515"/>
      <c r="D22" s="481">
        <f>'Tax Calculations'!D36+'Tax Calculations'!D52</f>
        <v>0</v>
      </c>
      <c r="E22" s="481">
        <f>'Tax Calculations'!E36+'Tax Calculations'!E52</f>
        <v>0</v>
      </c>
      <c r="F22" s="481">
        <f>'Tax Calculations'!F36+'Tax Calculations'!F52</f>
        <v>0</v>
      </c>
      <c r="G22" s="481">
        <f>'Tax Calculations'!G36+'Tax Calculations'!G52</f>
        <v>0</v>
      </c>
      <c r="H22" s="481">
        <f>'Tax Calculations'!H36+'Tax Calculations'!H52</f>
        <v>0</v>
      </c>
      <c r="I22" s="481">
        <f>'Tax Calculations'!I36+'Tax Calculations'!I52</f>
        <v>2686.490112973378</v>
      </c>
      <c r="J22" s="481">
        <f>'Tax Calculations'!J36+'Tax Calculations'!J52</f>
        <v>8038.736469445781</v>
      </c>
      <c r="K22" s="481">
        <f>'Tax Calculations'!K36+'Tax Calculations'!K52</f>
        <v>8499.2773909556672</v>
      </c>
      <c r="L22" s="481">
        <f>'Tax Calculations'!L36+'Tax Calculations'!L52</f>
        <v>8976.0147596710922</v>
      </c>
      <c r="M22" s="481">
        <f>'Tax Calculations'!M36+'Tax Calculations'!M52</f>
        <v>9608.9340433038196</v>
      </c>
      <c r="N22" s="481">
        <f>'Tax Calculations'!N36+'Tax Calculations'!N52</f>
        <v>10354.093164520193</v>
      </c>
      <c r="O22" s="481">
        <f>'Tax Calculations'!O36+'Tax Calculations'!O52</f>
        <v>10665.843367895646</v>
      </c>
      <c r="P22" s="481">
        <f>'Tax Calculations'!P36+'Tax Calculations'!P52</f>
        <v>11024.06677407335</v>
      </c>
      <c r="Q22" s="481">
        <f>'Tax Calculations'!Q36+'Tax Calculations'!Q52</f>
        <v>11373.212729214883</v>
      </c>
      <c r="R22" s="481">
        <f>'Tax Calculations'!R36+'Tax Calculations'!R52</f>
        <v>11718.872016561803</v>
      </c>
      <c r="S22" s="481">
        <f>'Tax Calculations'!S36+'Tax Calculations'!S52</f>
        <v>14986.043426477823</v>
      </c>
      <c r="T22" s="481">
        <f>'Tax Calculations'!T36+'Tax Calculations'!T52</f>
        <v>18245.52705576345</v>
      </c>
      <c r="U22" s="481">
        <f>'Tax Calculations'!U36+'Tax Calculations'!U52</f>
        <v>18735.309038233227</v>
      </c>
      <c r="V22" s="481">
        <f>'Tax Calculations'!V36+'Tax Calculations'!V52</f>
        <v>19263.411433130303</v>
      </c>
      <c r="W22" s="481">
        <f>'Tax Calculations'!W36+'Tax Calculations'!W52</f>
        <v>19400.262205513172</v>
      </c>
      <c r="X22" s="481">
        <f>'Tax Calculations'!X36+'Tax Calculations'!X52</f>
        <v>7744.1480077616225</v>
      </c>
      <c r="Y22" s="481">
        <f>'Tax Calculations'!Y36+'Tax Calculations'!Y52</f>
        <v>0</v>
      </c>
      <c r="Z22" s="481">
        <f>'Tax Calculations'!Z36+'Tax Calculations'!Z52</f>
        <v>0</v>
      </c>
      <c r="AA22" s="481">
        <f>'Tax Calculations'!AA36+'Tax Calculations'!AA52</f>
        <v>0</v>
      </c>
      <c r="AB22" s="516">
        <f>'Tax Calculations'!AB36+'Tax Calculations'!AB52</f>
        <v>0</v>
      </c>
      <c r="AC22" s="14"/>
      <c r="AD22" s="14"/>
      <c r="AF22" s="13"/>
      <c r="AP22" s="13"/>
      <c r="AQ22" s="13"/>
      <c r="AR22" s="13"/>
      <c r="AS22" s="13"/>
      <c r="AU22" s="13"/>
    </row>
    <row r="23" spans="1:47" s="17" customFormat="1" ht="12.6" customHeight="1">
      <c r="A23" s="517" t="s">
        <v>32</v>
      </c>
      <c r="B23" s="518"/>
      <c r="C23" s="519">
        <f>C21-C22</f>
        <v>1237895.6999851081</v>
      </c>
      <c r="D23" s="520">
        <f>IF(D4&gt;'Project Assumptions'!$I$15+1,0,D21-D22)</f>
        <v>-6468.4251510931717</v>
      </c>
      <c r="E23" s="520">
        <f>IF(E4&gt;'Project Assumptions'!$I$15+1,0,E21-E22)</f>
        <v>5559.0788126314401</v>
      </c>
      <c r="F23" s="520">
        <f>IF(F4&gt;'Project Assumptions'!$I$15+1,0,F21-F22)</f>
        <v>3261.9055814248422</v>
      </c>
      <c r="G23" s="520">
        <f>IF(G4&gt;'Project Assumptions'!$I$15+1,0,G21-G22)</f>
        <v>11278.464454438923</v>
      </c>
      <c r="H23" s="520">
        <f>IF(H4&gt;'Project Assumptions'!$I$15+1,0,H21-H22)</f>
        <v>25387.124318847738</v>
      </c>
      <c r="I23" s="520">
        <f>IF(I4&gt;'Project Assumptions'!$I$15+1,0,I21-I22)</f>
        <v>24618.69830835778</v>
      </c>
      <c r="J23" s="520">
        <f>IF(J4&gt;'Project Assumptions'!$I$15+1,0,J21-J22)</f>
        <v>18637.626109678939</v>
      </c>
      <c r="K23" s="520">
        <f>IF(K4&gt;'Project Assumptions'!$I$15+1,0,K21-K22)</f>
        <v>19363.215220335343</v>
      </c>
      <c r="L23" s="520">
        <f>IF(L4&gt;'Project Assumptions'!$I$15+1,0,L21-L22)</f>
        <v>14622.214409378026</v>
      </c>
      <c r="M23" s="520">
        <f>IF(M4&gt;'Project Assumptions'!$I$15+1,0,M21-M22)</f>
        <v>11859.364523063712</v>
      </c>
      <c r="N23" s="520">
        <f>IF(N4&gt;'Project Assumptions'!$I$15+1,0,N21-N22)</f>
        <v>26612.114049375021</v>
      </c>
      <c r="O23" s="520">
        <f>IF(O4&gt;'Project Assumptions'!$I$15+1,0,O21-O22)</f>
        <v>26123.254379503418</v>
      </c>
      <c r="P23" s="520">
        <f>IF(P4&gt;'Project Assumptions'!$I$15+1,0,P21-P22)</f>
        <v>26642.995346301192</v>
      </c>
      <c r="Q23" s="520">
        <f>IF(Q4&gt;'Project Assumptions'!$I$15+1,0,Q21-Q22)</f>
        <v>27157.169854373667</v>
      </c>
      <c r="R23" s="520">
        <f>IF(R4&gt;'Project Assumptions'!$I$15+1,0,R21-R22)</f>
        <v>27699.785239538785</v>
      </c>
      <c r="S23" s="520">
        <f>IF(S4&gt;'Project Assumptions'!$I$15+1,0,S21-S22)</f>
        <v>25260.995851979424</v>
      </c>
      <c r="T23" s="520">
        <f>IF(T4&gt;'Project Assumptions'!$I$15+1,0,T21-T22)</f>
        <v>17869.813448341854</v>
      </c>
      <c r="U23" s="520">
        <f>IF(U4&gt;'Project Assumptions'!$I$15+1,0,U21-U22)</f>
        <v>16596.501301054534</v>
      </c>
      <c r="V23" s="520">
        <f>IF(V4&gt;'Project Assumptions'!$I$15+1,0,V21-V22)</f>
        <v>14477.302576324164</v>
      </c>
      <c r="W23" s="520">
        <f>IF(W4&gt;'Project Assumptions'!$I$15+1,0,W21-W22)</f>
        <v>12709.17085197334</v>
      </c>
      <c r="X23" s="520">
        <f>IF(X4&gt;'Project Assumptions'!$I$15+1,0,X21-X22)</f>
        <v>11778.750138711828</v>
      </c>
      <c r="Y23" s="520">
        <f>IF(Y4&gt;'Project Assumptions'!$I$15+1,0,Y21-Y22)</f>
        <v>0</v>
      </c>
      <c r="Z23" s="520">
        <f>IF(Z4&gt;'Project Assumptions'!$I$15+1,0,Z21-Z22)</f>
        <v>0</v>
      </c>
      <c r="AA23" s="520">
        <f>IF(AA4&gt;'Project Assumptions'!$I$15+1,0,AA21-AA22)</f>
        <v>0</v>
      </c>
      <c r="AB23" s="521">
        <f>IF(AB4&gt;'Project Assumptions'!$I$15+1,0,AB21-AB22)</f>
        <v>0</v>
      </c>
      <c r="AC23" s="19"/>
      <c r="AD23" s="19"/>
      <c r="AF23" s="20"/>
      <c r="AU23" s="20"/>
    </row>
    <row r="24" spans="1:47" s="12" customFormat="1" ht="12.6"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21"/>
      <c r="AD24" s="21"/>
    </row>
    <row r="26" spans="1:47" ht="12.6" customHeight="1">
      <c r="A26" s="522" t="s">
        <v>213</v>
      </c>
      <c r="B26" s="437"/>
      <c r="C26" s="437"/>
      <c r="D26" s="523"/>
      <c r="E26" s="437"/>
      <c r="F26" s="437"/>
      <c r="G26" s="437"/>
      <c r="H26" s="437"/>
      <c r="I26" s="437"/>
      <c r="J26" s="437"/>
      <c r="K26" s="437"/>
      <c r="L26" s="437"/>
      <c r="M26" s="437"/>
      <c r="N26" s="437"/>
      <c r="O26" s="437"/>
      <c r="P26" s="437"/>
      <c r="Q26" s="437"/>
      <c r="R26" s="437"/>
      <c r="S26" s="437"/>
      <c r="T26" s="437"/>
      <c r="U26" s="437"/>
      <c r="V26" s="437"/>
      <c r="W26" s="437"/>
      <c r="X26" s="437"/>
      <c r="Y26" s="437"/>
      <c r="Z26" s="437"/>
      <c r="AA26" s="437"/>
      <c r="AB26" s="408"/>
    </row>
    <row r="27" spans="1:47" ht="12.6" customHeight="1">
      <c r="A27" s="420"/>
      <c r="B27" s="524"/>
      <c r="C27" s="33"/>
      <c r="D27" s="525"/>
      <c r="E27" s="33"/>
      <c r="F27" s="33"/>
      <c r="G27" s="33"/>
      <c r="H27" s="33"/>
      <c r="I27" s="33"/>
      <c r="J27" s="33"/>
      <c r="K27" s="33"/>
      <c r="L27" s="33"/>
      <c r="M27" s="33"/>
      <c r="N27" s="33"/>
      <c r="O27" s="33"/>
      <c r="P27" s="33"/>
      <c r="Q27" s="33"/>
      <c r="R27" s="33"/>
      <c r="S27" s="33"/>
      <c r="T27" s="33"/>
      <c r="U27" s="33"/>
      <c r="V27" s="33"/>
      <c r="W27" s="33"/>
      <c r="X27" s="33"/>
      <c r="Y27" s="33"/>
      <c r="Z27" s="33"/>
      <c r="AA27" s="33"/>
      <c r="AB27" s="414"/>
    </row>
    <row r="28" spans="1:47" ht="12.6" customHeight="1">
      <c r="A28" s="420" t="s">
        <v>218</v>
      </c>
      <c r="B28" s="524"/>
      <c r="C28" s="33"/>
      <c r="D28" s="526">
        <f>+IF(OR(AND(D4&gt;'Project Assumptions'!$I$51,D31=0), 'Project Assumptions'!$I$51=0), 0, IF(D23&gt;0, D23, 0))</f>
        <v>0</v>
      </c>
      <c r="E28" s="526">
        <f>+IF(OR(AND(E4&gt;'Project Assumptions'!$I$51,E31=0), 'Project Assumptions'!$I$51=0), 0, IF(E23&gt;0, E23, 0))</f>
        <v>0</v>
      </c>
      <c r="F28" s="526">
        <f>+IF(OR(AND(F4&gt;'Project Assumptions'!$I$51,F31=0), 'Project Assumptions'!$I$51=0), 0, IF(F23&gt;0, F23, 0))</f>
        <v>0</v>
      </c>
      <c r="G28" s="526">
        <f>+IF(OR(AND(G4&gt;'Project Assumptions'!$I$51,G31=0), 'Project Assumptions'!$I$51=0), 0, IF(G23&gt;0, G23, 0))</f>
        <v>0</v>
      </c>
      <c r="H28" s="526">
        <f>+IF(OR(AND(H4&gt;'Project Assumptions'!$I$51,H31=0), 'Project Assumptions'!$I$51=0), 0, IF(H23&gt;0, H23, 0))</f>
        <v>0</v>
      </c>
      <c r="I28" s="526">
        <f>+IF(OR(AND(I4&gt;'Project Assumptions'!$I$51,I31=0), 'Project Assumptions'!$I$51=0), 0, IF(I23&gt;0, I23, 0))</f>
        <v>0</v>
      </c>
      <c r="J28" s="526">
        <f>+IF(OR(AND(J4&gt;'Project Assumptions'!$I$51,J31=0), 'Project Assumptions'!$I$51=0), 0, IF(J23&gt;0, J23, 0))</f>
        <v>0</v>
      </c>
      <c r="K28" s="526">
        <f>+IF(OR(AND(K4&gt;'Project Assumptions'!$I$51,K31=0), 'Project Assumptions'!$I$51=0), 0, IF(K23&gt;0, K23, 0))</f>
        <v>0</v>
      </c>
      <c r="L28" s="526">
        <f>+IF(OR(AND(L4&gt;'Project Assumptions'!$I$51,L31=0), 'Project Assumptions'!$I$51=0), 0, IF(L23&gt;0, L23, 0))</f>
        <v>0</v>
      </c>
      <c r="M28" s="526">
        <f>+IF(OR(AND(M4&gt;'Project Assumptions'!$I$51,M31=0), 'Project Assumptions'!$I$51=0), 0, IF(M23&gt;0, M23, 0))</f>
        <v>0</v>
      </c>
      <c r="N28" s="526">
        <f>+IF(OR(AND(N4&gt;'Project Assumptions'!$I$51,N31=0), 'Project Assumptions'!$I$51=0), 0, IF(N23&gt;0, N23, 0))</f>
        <v>0</v>
      </c>
      <c r="O28" s="526">
        <f>+IF(OR(AND(O4&gt;'Project Assumptions'!$I$51,O31=0), 'Project Assumptions'!$I$51=0), 0, IF(O23&gt;0, O23, 0))</f>
        <v>0</v>
      </c>
      <c r="P28" s="526">
        <f>+IF(OR(AND(P4&gt;'Project Assumptions'!$I$51,P31=0), 'Project Assumptions'!$I$51=0), 0, IF(P23&gt;0, P23, 0))</f>
        <v>0</v>
      </c>
      <c r="Q28" s="526">
        <f>+IF(OR(AND(Q4&gt;'Project Assumptions'!$I$51,Q31=0), 'Project Assumptions'!$I$51=0), 0, IF(Q23&gt;0, Q23, 0))</f>
        <v>0</v>
      </c>
      <c r="R28" s="526">
        <f>+IF(OR(AND(R4&gt;'Project Assumptions'!$I$51,R31=0), 'Project Assumptions'!$I$51=0), 0, IF(R23&gt;0, R23, 0))</f>
        <v>0</v>
      </c>
      <c r="S28" s="526">
        <f>+IF(OR(AND(S4&gt;'Project Assumptions'!$I$51,S31=0), 'Project Assumptions'!$I$51=0), 0, IF(S23&gt;0, S23, 0))</f>
        <v>0</v>
      </c>
      <c r="T28" s="526">
        <f>+IF(OR(AND(T4&gt;'Project Assumptions'!$I$51,T31=0), 'Project Assumptions'!$I$51=0), 0, IF(T23&gt;0, T23, 0))</f>
        <v>0</v>
      </c>
      <c r="U28" s="526">
        <f>+IF(OR(AND(U4&gt;'Project Assumptions'!$I$51,U31=0), 'Project Assumptions'!$I$51=0), 0, IF(U23&gt;0, U23, 0))</f>
        <v>0</v>
      </c>
      <c r="V28" s="526">
        <f>+IF(OR(AND(V4&gt;'Project Assumptions'!$I$51,V31=0), 'Project Assumptions'!$I$51=0), 0, IF(V23&gt;0, V23, 0))</f>
        <v>0</v>
      </c>
      <c r="W28" s="526">
        <f>+IF(OR(AND(W4&gt;'Project Assumptions'!$I$51,W31=0), 'Project Assumptions'!$I$51=0), 0, IF(W23&gt;0, W23, 0))</f>
        <v>0</v>
      </c>
      <c r="X28" s="526">
        <f>+IF(OR(AND(X4&gt;'Project Assumptions'!$I$51,X31=0), 'Project Assumptions'!$I$51=0), 0, IF(X23&gt;0, X23, 0))</f>
        <v>0</v>
      </c>
      <c r="Y28" s="526">
        <f>+IF(OR(AND(Y4&gt;'Project Assumptions'!$I$51,Y31=0), 'Project Assumptions'!$I$51=0), 0, IF(Y23&gt;0, Y23, 0))</f>
        <v>0</v>
      </c>
      <c r="Z28" s="526">
        <f>+IF(OR(AND(Z4&gt;'Project Assumptions'!$I$51,Z31=0), 'Project Assumptions'!$I$51=0), 0, IF(Z23&gt;0, Z23, 0))</f>
        <v>0</v>
      </c>
      <c r="AA28" s="526">
        <f>+IF(OR(AND(AA4&gt;'Project Assumptions'!$I$51,AA31=0), 'Project Assumptions'!$I$51=0), 0, IF(AA23&gt;0, AA23, 0))</f>
        <v>0</v>
      </c>
      <c r="AB28" s="527">
        <f>+IF(OR(AND(AB4&gt;'Project Assumptions'!$I$51,AB31=0), 'Project Assumptions'!$I$51=0), 0, IF(AB23&gt;0, AB23, 0))</f>
        <v>0</v>
      </c>
    </row>
    <row r="29" spans="1:47" ht="12.6" customHeight="1">
      <c r="A29" s="420" t="s">
        <v>100</v>
      </c>
      <c r="B29" s="528"/>
      <c r="C29" s="33"/>
      <c r="D29" s="53">
        <f>IF('Project Assumptions'!$I$51=0, 0, +'Project Assumptions'!$I$53)</f>
        <v>0</v>
      </c>
      <c r="E29" s="33"/>
      <c r="F29" s="33"/>
      <c r="G29" s="33"/>
      <c r="H29" s="33"/>
      <c r="I29" s="33"/>
      <c r="J29" s="33"/>
      <c r="K29" s="33"/>
      <c r="L29" s="33"/>
      <c r="M29" s="33"/>
      <c r="N29" s="33"/>
      <c r="O29" s="33"/>
      <c r="P29" s="33"/>
      <c r="Q29" s="33"/>
      <c r="R29" s="33"/>
      <c r="S29" s="33"/>
      <c r="T29" s="33"/>
      <c r="U29" s="33"/>
      <c r="V29" s="33"/>
      <c r="W29" s="33"/>
      <c r="X29" s="33"/>
      <c r="Y29" s="33"/>
      <c r="Z29" s="33"/>
      <c r="AA29" s="33"/>
      <c r="AB29" s="414"/>
    </row>
    <row r="30" spans="1:47" ht="12.6" customHeight="1">
      <c r="A30" s="420" t="s">
        <v>215</v>
      </c>
      <c r="B30" s="524"/>
      <c r="C30" s="33"/>
      <c r="D30" s="46">
        <f>D29*'Project Assumptions'!$I$52</f>
        <v>0</v>
      </c>
      <c r="E30" s="46">
        <f>+D33*'Project Assumptions'!$I$52</f>
        <v>0</v>
      </c>
      <c r="F30" s="46">
        <f>+E33*'Project Assumptions'!$I$52</f>
        <v>0</v>
      </c>
      <c r="G30" s="46">
        <f>+F33*'Project Assumptions'!$I$52</f>
        <v>0</v>
      </c>
      <c r="H30" s="46">
        <f>+G33*'Project Assumptions'!$I$52</f>
        <v>0</v>
      </c>
      <c r="I30" s="46">
        <f>+H33*'Project Assumptions'!$I$52</f>
        <v>0</v>
      </c>
      <c r="J30" s="46">
        <f>+I33*'Project Assumptions'!$I$52</f>
        <v>0</v>
      </c>
      <c r="K30" s="46">
        <f>+J33*'Project Assumptions'!$I$52</f>
        <v>0</v>
      </c>
      <c r="L30" s="46">
        <f>+K33*'Project Assumptions'!$I$52</f>
        <v>0</v>
      </c>
      <c r="M30" s="46">
        <f>+L33*'Project Assumptions'!$I$52</f>
        <v>0</v>
      </c>
      <c r="N30" s="46">
        <f>+M33*'Project Assumptions'!$I$52</f>
        <v>0</v>
      </c>
      <c r="O30" s="46">
        <f>+N33*'Project Assumptions'!$I$52</f>
        <v>0</v>
      </c>
      <c r="P30" s="46">
        <f>+O33*'Project Assumptions'!$I$52</f>
        <v>0</v>
      </c>
      <c r="Q30" s="46">
        <f>+P33*'Project Assumptions'!$I$52</f>
        <v>0</v>
      </c>
      <c r="R30" s="46">
        <f>+Q33*'Project Assumptions'!$I$52</f>
        <v>0</v>
      </c>
      <c r="S30" s="46">
        <f>+R33*'Project Assumptions'!$I$52</f>
        <v>0</v>
      </c>
      <c r="T30" s="46">
        <f>+S33*'Project Assumptions'!$I$52</f>
        <v>0</v>
      </c>
      <c r="U30" s="46">
        <f>+T33*'Project Assumptions'!$I$52</f>
        <v>0</v>
      </c>
      <c r="V30" s="46">
        <f>+U33*'Project Assumptions'!$I$52</f>
        <v>0</v>
      </c>
      <c r="W30" s="46">
        <f>+V33*'Project Assumptions'!$I$52</f>
        <v>0</v>
      </c>
      <c r="X30" s="46">
        <f>+W33*'Project Assumptions'!$I$52</f>
        <v>0</v>
      </c>
      <c r="Y30" s="46">
        <f>+X33*'Project Assumptions'!$I$52</f>
        <v>0</v>
      </c>
      <c r="Z30" s="46">
        <f>+Y33*'Project Assumptions'!$I$52</f>
        <v>0</v>
      </c>
      <c r="AA30" s="46">
        <f>+Z33*'Project Assumptions'!$I$52</f>
        <v>0</v>
      </c>
      <c r="AB30" s="426">
        <f>+AA33*'Project Assumptions'!$I$52</f>
        <v>0</v>
      </c>
    </row>
    <row r="31" spans="1:47" ht="12.6" customHeight="1">
      <c r="A31" s="420" t="s">
        <v>219</v>
      </c>
      <c r="B31" s="524"/>
      <c r="C31" s="529">
        <v>0</v>
      </c>
      <c r="D31" s="53">
        <f>+C31+D30</f>
        <v>0</v>
      </c>
      <c r="E31" s="530">
        <f>+D31-D32+E30</f>
        <v>0</v>
      </c>
      <c r="F31" s="530">
        <f>+E31-E32+F30</f>
        <v>0</v>
      </c>
      <c r="G31" s="530">
        <f>+F31-F32+G30</f>
        <v>0</v>
      </c>
      <c r="H31" s="530">
        <f t="shared" ref="H31:AB31" si="2">+G31-G32+H30</f>
        <v>0</v>
      </c>
      <c r="I31" s="530">
        <f t="shared" si="2"/>
        <v>0</v>
      </c>
      <c r="J31" s="530">
        <f t="shared" si="2"/>
        <v>0</v>
      </c>
      <c r="K31" s="530">
        <f t="shared" si="2"/>
        <v>0</v>
      </c>
      <c r="L31" s="530">
        <f t="shared" si="2"/>
        <v>0</v>
      </c>
      <c r="M31" s="530">
        <f t="shared" si="2"/>
        <v>0</v>
      </c>
      <c r="N31" s="530">
        <f t="shared" si="2"/>
        <v>0</v>
      </c>
      <c r="O31" s="530">
        <f t="shared" si="2"/>
        <v>0</v>
      </c>
      <c r="P31" s="530">
        <f t="shared" si="2"/>
        <v>0</v>
      </c>
      <c r="Q31" s="530">
        <f t="shared" si="2"/>
        <v>0</v>
      </c>
      <c r="R31" s="530">
        <f t="shared" si="2"/>
        <v>0</v>
      </c>
      <c r="S31" s="530">
        <f t="shared" si="2"/>
        <v>0</v>
      </c>
      <c r="T31" s="530">
        <f t="shared" si="2"/>
        <v>0</v>
      </c>
      <c r="U31" s="530">
        <f t="shared" si="2"/>
        <v>0</v>
      </c>
      <c r="V31" s="530">
        <f t="shared" si="2"/>
        <v>0</v>
      </c>
      <c r="W31" s="530">
        <f t="shared" si="2"/>
        <v>0</v>
      </c>
      <c r="X31" s="530">
        <f t="shared" si="2"/>
        <v>0</v>
      </c>
      <c r="Y31" s="530">
        <f t="shared" si="2"/>
        <v>0</v>
      </c>
      <c r="Z31" s="530">
        <f t="shared" si="2"/>
        <v>0</v>
      </c>
      <c r="AA31" s="530">
        <f t="shared" si="2"/>
        <v>0</v>
      </c>
      <c r="AB31" s="531">
        <f t="shared" si="2"/>
        <v>0</v>
      </c>
    </row>
    <row r="32" spans="1:47" ht="12.6" customHeight="1">
      <c r="A32" s="420" t="s">
        <v>216</v>
      </c>
      <c r="B32" s="33"/>
      <c r="C32" s="33"/>
      <c r="D32" s="56">
        <f>+IF(D28&gt;D31, D31, D28)</f>
        <v>0</v>
      </c>
      <c r="E32" s="56">
        <f>+IF(E28&gt;E31, E31, E28)</f>
        <v>0</v>
      </c>
      <c r="F32" s="56">
        <f>+IF(F28&gt;F31, F31, F28)</f>
        <v>0</v>
      </c>
      <c r="G32" s="56">
        <f>+IF(G28&gt;G31, G31, G28)</f>
        <v>0</v>
      </c>
      <c r="H32" s="56">
        <f t="shared" ref="H32:AB32" si="3">+IF(H28&gt;H31, H31, H28)</f>
        <v>0</v>
      </c>
      <c r="I32" s="56">
        <f t="shared" si="3"/>
        <v>0</v>
      </c>
      <c r="J32" s="56">
        <f t="shared" si="3"/>
        <v>0</v>
      </c>
      <c r="K32" s="56">
        <f t="shared" si="3"/>
        <v>0</v>
      </c>
      <c r="L32" s="56">
        <f t="shared" si="3"/>
        <v>0</v>
      </c>
      <c r="M32" s="56">
        <f t="shared" si="3"/>
        <v>0</v>
      </c>
      <c r="N32" s="56">
        <f t="shared" si="3"/>
        <v>0</v>
      </c>
      <c r="O32" s="56">
        <f t="shared" si="3"/>
        <v>0</v>
      </c>
      <c r="P32" s="56">
        <f t="shared" si="3"/>
        <v>0</v>
      </c>
      <c r="Q32" s="56">
        <f t="shared" si="3"/>
        <v>0</v>
      </c>
      <c r="R32" s="56">
        <f t="shared" si="3"/>
        <v>0</v>
      </c>
      <c r="S32" s="56">
        <f t="shared" si="3"/>
        <v>0</v>
      </c>
      <c r="T32" s="56">
        <f t="shared" si="3"/>
        <v>0</v>
      </c>
      <c r="U32" s="56">
        <f t="shared" si="3"/>
        <v>0</v>
      </c>
      <c r="V32" s="56">
        <f t="shared" si="3"/>
        <v>0</v>
      </c>
      <c r="W32" s="56">
        <f t="shared" si="3"/>
        <v>0</v>
      </c>
      <c r="X32" s="56">
        <f t="shared" si="3"/>
        <v>0</v>
      </c>
      <c r="Y32" s="56">
        <f t="shared" si="3"/>
        <v>0</v>
      </c>
      <c r="Z32" s="56">
        <f t="shared" si="3"/>
        <v>0</v>
      </c>
      <c r="AA32" s="56">
        <f t="shared" si="3"/>
        <v>0</v>
      </c>
      <c r="AB32" s="532">
        <f t="shared" si="3"/>
        <v>0</v>
      </c>
    </row>
    <row r="33" spans="1:47" ht="12.6" customHeight="1">
      <c r="A33" s="420" t="s">
        <v>217</v>
      </c>
      <c r="B33" s="33"/>
      <c r="C33" s="33"/>
      <c r="D33" s="530">
        <f>+IF(D4&lt;'Project Assumptions'!$I$51, 'Project Assumptions'!$I$53, 0)</f>
        <v>0</v>
      </c>
      <c r="E33" s="530">
        <f>+IF(E4&lt;'Project Assumptions'!$I$51, D33, 0)</f>
        <v>0</v>
      </c>
      <c r="F33" s="530">
        <f>+IF(F4&lt;'Project Assumptions'!$I$51, E33, 0)</f>
        <v>0</v>
      </c>
      <c r="G33" s="530">
        <f>+IF(G4&lt;'Project Assumptions'!$I$51, F33, 0)</f>
        <v>0</v>
      </c>
      <c r="H33" s="530">
        <f>+IF(H4&lt;'Project Assumptions'!$I$51, G33, 0)</f>
        <v>0</v>
      </c>
      <c r="I33" s="530">
        <f>+IF(I4&lt;'Project Assumptions'!$I$51, H33, 0)</f>
        <v>0</v>
      </c>
      <c r="J33" s="530">
        <f>+IF(J4&lt;'Project Assumptions'!$I$51, I33, 0)</f>
        <v>0</v>
      </c>
      <c r="K33" s="530">
        <f>+IF(K4&lt;'Project Assumptions'!$I$51, J33, 0)</f>
        <v>0</v>
      </c>
      <c r="L33" s="530">
        <f>+IF(L4&lt;'Project Assumptions'!$I$51, K33, 0)</f>
        <v>0</v>
      </c>
      <c r="M33" s="530">
        <f>+IF(M4&lt;'Project Assumptions'!$I$51, L33, 0)</f>
        <v>0</v>
      </c>
      <c r="N33" s="530">
        <f>+IF(N4&lt;'Project Assumptions'!$I$51, M33, 0)</f>
        <v>0</v>
      </c>
      <c r="O33" s="530">
        <f>+IF(O4&lt;'Project Assumptions'!$I$51, N33, 0)</f>
        <v>0</v>
      </c>
      <c r="P33" s="530">
        <f>+IF(P4&lt;'Project Assumptions'!$I$51, O33, 0)</f>
        <v>0</v>
      </c>
      <c r="Q33" s="530">
        <f>+IF(Q4&lt;'Project Assumptions'!$I$51, P33, 0)</f>
        <v>0</v>
      </c>
      <c r="R33" s="530">
        <f>+IF(R4&lt;'Project Assumptions'!$I$51, Q33, 0)</f>
        <v>0</v>
      </c>
      <c r="S33" s="530">
        <f>+IF(S4&lt;'Project Assumptions'!$I$51, R33, 0)</f>
        <v>0</v>
      </c>
      <c r="T33" s="530">
        <f>+IF(T4&lt;'Project Assumptions'!$I$51, S33, 0)</f>
        <v>0</v>
      </c>
      <c r="U33" s="530">
        <f>+IF(U4&lt;'Project Assumptions'!$I$51, T33, 0)</f>
        <v>0</v>
      </c>
      <c r="V33" s="530">
        <f>+IF(V4&lt;'Project Assumptions'!$I$51, U33, 0)</f>
        <v>0</v>
      </c>
      <c r="W33" s="530">
        <f>+IF(W4&lt;'Project Assumptions'!$I$51, V33, 0)</f>
        <v>0</v>
      </c>
      <c r="X33" s="530">
        <f>+IF(X4&lt;'Project Assumptions'!$I$51, W33, 0)</f>
        <v>0</v>
      </c>
      <c r="Y33" s="530">
        <f>+IF(Y4&lt;'Project Assumptions'!$I$51, X33, 0)</f>
        <v>0</v>
      </c>
      <c r="Z33" s="530">
        <f>+IF(Z4&lt;'Project Assumptions'!$I$51, Y33, 0)</f>
        <v>0</v>
      </c>
      <c r="AA33" s="530">
        <f>+IF(AA4&lt;'Project Assumptions'!$I$51, Z33, 0)</f>
        <v>0</v>
      </c>
      <c r="AB33" s="531">
        <f>+IF(AB4&lt;'Project Assumptions'!$I$51, AA33, 0)</f>
        <v>0</v>
      </c>
    </row>
    <row r="34" spans="1:47" ht="12.6" customHeight="1">
      <c r="A34" s="420"/>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414"/>
    </row>
    <row r="35" spans="1:47" ht="12.6" customHeight="1">
      <c r="A35" s="418" t="s">
        <v>214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414"/>
    </row>
    <row r="36" spans="1:47" ht="12.6" customHeight="1">
      <c r="A36" s="420"/>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414"/>
    </row>
    <row r="37" spans="1:47" ht="12.6" customHeight="1">
      <c r="A37" s="420" t="s">
        <v>220</v>
      </c>
      <c r="B37" s="33"/>
      <c r="C37" s="33"/>
      <c r="D37" s="56">
        <f>+D23-D32+(D33-'Project Assumptions'!$I$53)</f>
        <v>-6468.4251510931717</v>
      </c>
      <c r="E37" s="530">
        <f t="shared" ref="E37:AB37" si="4">+E23-E32+(E33-D33)</f>
        <v>5559.0788126314401</v>
      </c>
      <c r="F37" s="530">
        <f t="shared" si="4"/>
        <v>3261.9055814248422</v>
      </c>
      <c r="G37" s="530">
        <f t="shared" si="4"/>
        <v>11278.464454438923</v>
      </c>
      <c r="H37" s="530">
        <f t="shared" si="4"/>
        <v>25387.124318847738</v>
      </c>
      <c r="I37" s="530">
        <f t="shared" si="4"/>
        <v>24618.69830835778</v>
      </c>
      <c r="J37" s="530">
        <f t="shared" si="4"/>
        <v>18637.626109678939</v>
      </c>
      <c r="K37" s="530">
        <f t="shared" si="4"/>
        <v>19363.215220335343</v>
      </c>
      <c r="L37" s="530">
        <f t="shared" si="4"/>
        <v>14622.214409378026</v>
      </c>
      <c r="M37" s="530">
        <f t="shared" si="4"/>
        <v>11859.364523063712</v>
      </c>
      <c r="N37" s="530">
        <f t="shared" si="4"/>
        <v>26612.114049375021</v>
      </c>
      <c r="O37" s="530">
        <f t="shared" si="4"/>
        <v>26123.254379503418</v>
      </c>
      <c r="P37" s="530">
        <f t="shared" si="4"/>
        <v>26642.995346301192</v>
      </c>
      <c r="Q37" s="530">
        <f t="shared" si="4"/>
        <v>27157.169854373667</v>
      </c>
      <c r="R37" s="530">
        <f t="shared" si="4"/>
        <v>27699.785239538785</v>
      </c>
      <c r="S37" s="530">
        <f t="shared" si="4"/>
        <v>25260.995851979424</v>
      </c>
      <c r="T37" s="530">
        <f t="shared" si="4"/>
        <v>17869.813448341854</v>
      </c>
      <c r="U37" s="530">
        <f t="shared" si="4"/>
        <v>16596.501301054534</v>
      </c>
      <c r="V37" s="530">
        <f t="shared" si="4"/>
        <v>14477.302576324164</v>
      </c>
      <c r="W37" s="530">
        <f t="shared" si="4"/>
        <v>12709.17085197334</v>
      </c>
      <c r="X37" s="530">
        <f t="shared" si="4"/>
        <v>11778.750138711828</v>
      </c>
      <c r="Y37" s="530">
        <f t="shared" si="4"/>
        <v>0</v>
      </c>
      <c r="Z37" s="530">
        <f t="shared" si="4"/>
        <v>0</v>
      </c>
      <c r="AA37" s="530">
        <f t="shared" si="4"/>
        <v>0</v>
      </c>
      <c r="AB37" s="531">
        <f t="shared" si="4"/>
        <v>0</v>
      </c>
    </row>
    <row r="38" spans="1:47" ht="12.6" customHeight="1">
      <c r="A38" s="420" t="s">
        <v>216</v>
      </c>
      <c r="B38" s="33"/>
      <c r="C38" s="33"/>
      <c r="D38" s="530">
        <f>D37</f>
        <v>-6468.4251510931717</v>
      </c>
      <c r="E38" s="530">
        <f t="shared" ref="E38:AB38" si="5">E37</f>
        <v>5559.0788126314401</v>
      </c>
      <c r="F38" s="530">
        <f t="shared" si="5"/>
        <v>3261.9055814248422</v>
      </c>
      <c r="G38" s="530">
        <f t="shared" si="5"/>
        <v>11278.464454438923</v>
      </c>
      <c r="H38" s="530">
        <f t="shared" si="5"/>
        <v>25387.124318847738</v>
      </c>
      <c r="I38" s="530">
        <f t="shared" si="5"/>
        <v>24618.69830835778</v>
      </c>
      <c r="J38" s="530">
        <f t="shared" si="5"/>
        <v>18637.626109678939</v>
      </c>
      <c r="K38" s="530">
        <f t="shared" si="5"/>
        <v>19363.215220335343</v>
      </c>
      <c r="L38" s="530">
        <f t="shared" si="5"/>
        <v>14622.214409378026</v>
      </c>
      <c r="M38" s="530">
        <f t="shared" si="5"/>
        <v>11859.364523063712</v>
      </c>
      <c r="N38" s="530">
        <f t="shared" si="5"/>
        <v>26612.114049375021</v>
      </c>
      <c r="O38" s="530">
        <f t="shared" si="5"/>
        <v>26123.254379503418</v>
      </c>
      <c r="P38" s="530">
        <f t="shared" si="5"/>
        <v>26642.995346301192</v>
      </c>
      <c r="Q38" s="530">
        <f t="shared" si="5"/>
        <v>27157.169854373667</v>
      </c>
      <c r="R38" s="530">
        <f t="shared" si="5"/>
        <v>27699.785239538785</v>
      </c>
      <c r="S38" s="530">
        <f t="shared" si="5"/>
        <v>25260.995851979424</v>
      </c>
      <c r="T38" s="530">
        <f t="shared" si="5"/>
        <v>17869.813448341854</v>
      </c>
      <c r="U38" s="530">
        <f t="shared" si="5"/>
        <v>16596.501301054534</v>
      </c>
      <c r="V38" s="530">
        <f t="shared" si="5"/>
        <v>14477.302576324164</v>
      </c>
      <c r="W38" s="530">
        <f t="shared" si="5"/>
        <v>12709.17085197334</v>
      </c>
      <c r="X38" s="530">
        <f t="shared" si="5"/>
        <v>11778.750138711828</v>
      </c>
      <c r="Y38" s="530">
        <f t="shared" si="5"/>
        <v>0</v>
      </c>
      <c r="Z38" s="530">
        <f t="shared" si="5"/>
        <v>0</v>
      </c>
      <c r="AA38" s="530">
        <f t="shared" si="5"/>
        <v>0</v>
      </c>
      <c r="AB38" s="531">
        <f t="shared" si="5"/>
        <v>0</v>
      </c>
    </row>
    <row r="39" spans="1:47" ht="12.6" customHeight="1">
      <c r="A39" s="452" t="s">
        <v>417</v>
      </c>
      <c r="B39" s="409"/>
      <c r="C39" s="409"/>
      <c r="D39" s="533">
        <f>D37-D38</f>
        <v>0</v>
      </c>
      <c r="E39" s="533">
        <f t="shared" ref="E39:AB39" si="6">E37-E38</f>
        <v>0</v>
      </c>
      <c r="F39" s="533">
        <f t="shared" si="6"/>
        <v>0</v>
      </c>
      <c r="G39" s="533">
        <f t="shared" si="6"/>
        <v>0</v>
      </c>
      <c r="H39" s="533">
        <f t="shared" si="6"/>
        <v>0</v>
      </c>
      <c r="I39" s="533">
        <f t="shared" si="6"/>
        <v>0</v>
      </c>
      <c r="J39" s="533">
        <f t="shared" si="6"/>
        <v>0</v>
      </c>
      <c r="K39" s="533">
        <f t="shared" si="6"/>
        <v>0</v>
      </c>
      <c r="L39" s="533">
        <f t="shared" si="6"/>
        <v>0</v>
      </c>
      <c r="M39" s="533">
        <f t="shared" si="6"/>
        <v>0</v>
      </c>
      <c r="N39" s="533">
        <f t="shared" si="6"/>
        <v>0</v>
      </c>
      <c r="O39" s="533">
        <f t="shared" si="6"/>
        <v>0</v>
      </c>
      <c r="P39" s="533">
        <f t="shared" si="6"/>
        <v>0</v>
      </c>
      <c r="Q39" s="533">
        <f t="shared" si="6"/>
        <v>0</v>
      </c>
      <c r="R39" s="533">
        <f t="shared" si="6"/>
        <v>0</v>
      </c>
      <c r="S39" s="533">
        <f t="shared" si="6"/>
        <v>0</v>
      </c>
      <c r="T39" s="533">
        <f t="shared" si="6"/>
        <v>0</v>
      </c>
      <c r="U39" s="533">
        <f t="shared" si="6"/>
        <v>0</v>
      </c>
      <c r="V39" s="533">
        <f t="shared" si="6"/>
        <v>0</v>
      </c>
      <c r="W39" s="533">
        <f t="shared" si="6"/>
        <v>0</v>
      </c>
      <c r="X39" s="533">
        <f t="shared" si="6"/>
        <v>0</v>
      </c>
      <c r="Y39" s="533">
        <f t="shared" si="6"/>
        <v>0</v>
      </c>
      <c r="Z39" s="533">
        <f t="shared" si="6"/>
        <v>0</v>
      </c>
      <c r="AA39" s="533">
        <f t="shared" si="6"/>
        <v>0</v>
      </c>
      <c r="AB39" s="534">
        <f t="shared" si="6"/>
        <v>0</v>
      </c>
    </row>
    <row r="40" spans="1:47" ht="12.6" customHeight="1">
      <c r="D40" s="482"/>
    </row>
    <row r="43" spans="1:47" ht="12.6" customHeight="1">
      <c r="AF43" s="8"/>
      <c r="AU43" s="8"/>
    </row>
    <row r="44" spans="1:47" customFormat="1" ht="12.6"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spans="1:47" customFormat="1" ht="12.6"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47" customFormat="1" ht="12.6"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spans="1:47" customFormat="1" ht="12.6"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spans="1:47" customFormat="1" ht="12.6"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spans="1:28" customFormat="1" ht="12.6"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spans="1:28" customFormat="1" ht="12.6"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spans="1:28" customFormat="1" ht="12.6"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spans="1:28" customFormat="1" ht="12.6"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spans="1:28" customFormat="1" ht="12.6"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sheetData>
  <customSheetViews>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1"/>
      <headerFooter alignWithMargins="0">
        <oddFooter>&amp;L&amp;D   &amp;T&amp;RO:\Naes\GenSvcs\Tva\Tva Models\&amp;F
&amp;A   &amp;P</oddFooter>
      </headerFooter>
    </customSheetView>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2"/>
      <headerFooter alignWithMargins="0">
        <oddFooter>&amp;L&amp;D   &amp;T&amp;RO:\Naes\GenSvcs\TVA\TVA Model\&amp;F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BaseYr</vt:lpstr>
      <vt:lpstr>BI</vt:lpstr>
      <vt:lpstr>BusnIInsr</vt:lpstr>
      <vt:lpstr>Cap_Factor_Energy</vt:lpstr>
      <vt:lpstr>Capital_Copy</vt:lpstr>
      <vt:lpstr>Capital_Paste</vt:lpstr>
      <vt:lpstr>CF</vt:lpstr>
      <vt:lpstr>Debt</vt:lpstr>
      <vt:lpstr>DebtTerm</vt:lpstr>
      <vt:lpstr>Deprec</vt:lpstr>
      <vt:lpstr>Ebitda</vt:lpstr>
      <vt:lpstr>Energy_Margin</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PPA_Price</vt:lpstr>
      <vt:lpstr>PPACAPACITY</vt:lpstr>
      <vt:lpstr>PPAHours</vt:lpstr>
      <vt:lpstr>PPATerm</vt:lpstr>
      <vt:lpstr>principal</vt:lpstr>
      <vt:lpstr>principal1</vt:lpstr>
      <vt:lpstr>principal2</vt:lpstr>
      <vt:lpstr>principal3</vt:lpstr>
      <vt:lpstr>'Book Income Statement'!Print_Area</vt:lpstr>
      <vt:lpstr>BS!Print_Area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START_PAY</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2000-01-04T16:54:05Z</cp:lastPrinted>
  <dcterms:created xsi:type="dcterms:W3CDTF">1997-11-13T01:38:26Z</dcterms:created>
  <dcterms:modified xsi:type="dcterms:W3CDTF">2023-09-13T22:17:56Z</dcterms:modified>
</cp:coreProperties>
</file>