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AB55AF-B670-452D-BD1A-16D361B7D48B}" xr6:coauthVersionLast="47" xr6:coauthVersionMax="47" xr10:uidLastSave="{00000000-0000-0000-0000-000000000000}"/>
  <bookViews>
    <workbookView xWindow="-120" yWindow="-120" windowWidth="38640" windowHeight="15720" tabRatio="369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Gleason!$A$1:$AA$72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Q14" i="9"/>
  <c r="R14" i="9"/>
  <c r="S14" i="9"/>
  <c r="T14" i="9"/>
  <c r="U14" i="9"/>
  <c r="V14" i="9"/>
  <c r="Z14" i="9"/>
  <c r="AB14" i="9"/>
  <c r="AC14" i="9"/>
  <c r="Z15" i="9"/>
  <c r="AB15" i="9"/>
  <c r="AC15" i="9"/>
  <c r="Q16" i="9"/>
  <c r="R16" i="9"/>
  <c r="S16" i="9"/>
  <c r="T16" i="9"/>
  <c r="U16" i="9"/>
  <c r="V16" i="9"/>
  <c r="W16" i="9"/>
  <c r="Z16" i="9"/>
  <c r="AB16" i="9"/>
  <c r="AC16" i="9"/>
  <c r="Q17" i="9"/>
  <c r="R17" i="9"/>
  <c r="S17" i="9"/>
  <c r="T17" i="9"/>
  <c r="U17" i="9"/>
  <c r="V17" i="9"/>
  <c r="W17" i="9"/>
  <c r="Z17" i="9"/>
  <c r="AB17" i="9"/>
  <c r="AC17" i="9"/>
  <c r="Q18" i="9"/>
  <c r="R18" i="9"/>
  <c r="S18" i="9"/>
  <c r="T18" i="9"/>
  <c r="U18" i="9"/>
  <c r="V18" i="9"/>
  <c r="W18" i="9"/>
  <c r="Z18" i="9"/>
  <c r="AB18" i="9"/>
  <c r="AC18" i="9"/>
  <c r="Q19" i="9"/>
  <c r="R19" i="9"/>
  <c r="S19" i="9"/>
  <c r="T19" i="9"/>
  <c r="U19" i="9"/>
  <c r="V19" i="9"/>
  <c r="W19" i="9"/>
  <c r="Z19" i="9"/>
  <c r="AB19" i="9"/>
  <c r="AC19" i="9"/>
  <c r="Z20" i="9"/>
  <c r="AB20" i="9"/>
  <c r="AC20" i="9"/>
  <c r="Z21" i="9"/>
  <c r="AC21" i="9"/>
  <c r="V22" i="9"/>
  <c r="Z22" i="9"/>
  <c r="AB22" i="9"/>
  <c r="AC22" i="9"/>
  <c r="Z23" i="9"/>
  <c r="AB23" i="9"/>
  <c r="AC23" i="9"/>
  <c r="Z24" i="9"/>
  <c r="AB24" i="9"/>
  <c r="AC24" i="9"/>
  <c r="Z25" i="9"/>
  <c r="AA25" i="9"/>
  <c r="Z26" i="9"/>
  <c r="AB26" i="9"/>
  <c r="AC26" i="9"/>
  <c r="Z27" i="9"/>
  <c r="AB27" i="9"/>
  <c r="AC27" i="9"/>
  <c r="Z28" i="9"/>
  <c r="AA28" i="9"/>
  <c r="AB28" i="9"/>
  <c r="AC28" i="9"/>
  <c r="Z29" i="9"/>
  <c r="AC29" i="9"/>
  <c r="Z30" i="9"/>
  <c r="AB30" i="9"/>
  <c r="AC30" i="9"/>
  <c r="Q31" i="9"/>
  <c r="R31" i="9"/>
  <c r="Z31" i="9"/>
  <c r="O32" i="9"/>
  <c r="P32" i="9"/>
  <c r="S32" i="9"/>
  <c r="T32" i="9"/>
  <c r="Z32" i="9"/>
  <c r="P33" i="9"/>
  <c r="Q33" i="9"/>
  <c r="R33" i="9"/>
  <c r="Z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6" i="9"/>
  <c r="Z38" i="9"/>
  <c r="L39" i="9"/>
  <c r="Q39" i="9"/>
  <c r="R39" i="9"/>
  <c r="S39" i="9"/>
  <c r="T39" i="9"/>
  <c r="U39" i="9"/>
  <c r="V39" i="9"/>
  <c r="Z39" i="9"/>
  <c r="AA39" i="9"/>
  <c r="Z40" i="9"/>
  <c r="AA40" i="9"/>
  <c r="Z41" i="9"/>
  <c r="V42" i="9"/>
  <c r="Z42" i="9"/>
  <c r="AA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50" i="9"/>
  <c r="Z54" i="9"/>
  <c r="AA54" i="9"/>
  <c r="C56" i="9"/>
  <c r="D56" i="9"/>
  <c r="E56" i="9"/>
  <c r="F56" i="9"/>
  <c r="G56" i="9"/>
  <c r="H56" i="9"/>
  <c r="I56" i="9"/>
  <c r="J56" i="9"/>
  <c r="K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H61" i="9"/>
  <c r="L61" i="9"/>
  <c r="Z61" i="9"/>
  <c r="AC61" i="9"/>
  <c r="AD61" i="9"/>
  <c r="AE61" i="9"/>
  <c r="L62" i="9"/>
  <c r="Z62" i="9"/>
  <c r="AC62" i="9"/>
  <c r="AD62" i="9"/>
  <c r="AE62" i="9"/>
  <c r="L63" i="9"/>
  <c r="Z63" i="9"/>
  <c r="AC63" i="9"/>
  <c r="AE63" i="9"/>
  <c r="F64" i="9"/>
  <c r="L64" i="9"/>
  <c r="Z64" i="9"/>
  <c r="AC64" i="9"/>
  <c r="AD64" i="9"/>
  <c r="AE64" i="9"/>
  <c r="H65" i="9"/>
  <c r="L65" i="9"/>
  <c r="Z65" i="9"/>
  <c r="AC65" i="9"/>
  <c r="AD65" i="9"/>
  <c r="AE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O68" i="9"/>
  <c r="Z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Z73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P10" i="7"/>
  <c r="U10" i="7"/>
  <c r="Y10" i="7"/>
  <c r="AA10" i="7"/>
  <c r="AB10" i="7"/>
  <c r="M11" i="7"/>
  <c r="Y11" i="7"/>
  <c r="AA11" i="7"/>
  <c r="AB11" i="7"/>
  <c r="P12" i="7"/>
  <c r="Q12" i="7"/>
  <c r="R12" i="7"/>
  <c r="S12" i="7"/>
  <c r="T12" i="7"/>
  <c r="U12" i="7"/>
  <c r="V12" i="7"/>
  <c r="Y12" i="7"/>
  <c r="AA12" i="7"/>
  <c r="AB12" i="7"/>
  <c r="P13" i="7"/>
  <c r="Q13" i="7"/>
  <c r="R13" i="7"/>
  <c r="S13" i="7"/>
  <c r="T13" i="7"/>
  <c r="U13" i="7"/>
  <c r="V13" i="7"/>
  <c r="Y13" i="7"/>
  <c r="AA13" i="7"/>
  <c r="AB13" i="7"/>
  <c r="P14" i="7"/>
  <c r="Q14" i="7"/>
  <c r="R14" i="7"/>
  <c r="S14" i="7"/>
  <c r="T14" i="7"/>
  <c r="U14" i="7"/>
  <c r="V14" i="7"/>
  <c r="Y14" i="7"/>
  <c r="AA14" i="7"/>
  <c r="AB14" i="7"/>
  <c r="P15" i="7"/>
  <c r="Q15" i="7"/>
  <c r="R15" i="7"/>
  <c r="S15" i="7"/>
  <c r="T15" i="7"/>
  <c r="U15" i="7"/>
  <c r="V15" i="7"/>
  <c r="Y15" i="7"/>
  <c r="AA15" i="7"/>
  <c r="AB15" i="7"/>
  <c r="Y16" i="7"/>
  <c r="AA16" i="7"/>
  <c r="AB16" i="7"/>
  <c r="Y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P19" i="7"/>
  <c r="Q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Y32" i="7"/>
  <c r="Z32" i="7"/>
  <c r="O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P39" i="7"/>
  <c r="Q39" i="7"/>
  <c r="R39" i="7"/>
  <c r="S39" i="7"/>
  <c r="T39" i="7"/>
  <c r="U39" i="7"/>
  <c r="Y39" i="7"/>
  <c r="Z39" i="7"/>
  <c r="AA39" i="7"/>
  <c r="Y40" i="7"/>
  <c r="Z40" i="7"/>
  <c r="Y41" i="7"/>
  <c r="U42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P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P16" i="5"/>
  <c r="Q16" i="5"/>
  <c r="R16" i="5"/>
  <c r="S16" i="5"/>
  <c r="T16" i="5"/>
  <c r="U16" i="5"/>
  <c r="Y16" i="5"/>
  <c r="Z16" i="5"/>
  <c r="AA16" i="5"/>
  <c r="AB16" i="5"/>
  <c r="P17" i="5"/>
  <c r="Q17" i="5"/>
  <c r="R17" i="5"/>
  <c r="S17" i="5"/>
  <c r="T17" i="5"/>
  <c r="U17" i="5"/>
  <c r="Y17" i="5"/>
  <c r="Z17" i="5"/>
  <c r="AA17" i="5"/>
  <c r="AB17" i="5"/>
  <c r="P18" i="5"/>
  <c r="Q18" i="5"/>
  <c r="R18" i="5"/>
  <c r="S18" i="5"/>
  <c r="T18" i="5"/>
  <c r="U18" i="5"/>
  <c r="Y18" i="5"/>
  <c r="Z18" i="5"/>
  <c r="AA18" i="5"/>
  <c r="AB18" i="5"/>
  <c r="P19" i="5"/>
  <c r="Q19" i="5"/>
  <c r="R19" i="5"/>
  <c r="S19" i="5"/>
  <c r="T19" i="5"/>
  <c r="U19" i="5"/>
  <c r="Y19" i="5"/>
  <c r="Z19" i="5"/>
  <c r="AA19" i="5"/>
  <c r="AB19" i="5"/>
  <c r="Y20" i="5"/>
  <c r="Z20" i="5"/>
  <c r="AA20" i="5"/>
  <c r="AB20" i="5"/>
  <c r="O21" i="5"/>
  <c r="Y21" i="5"/>
  <c r="AB21" i="5"/>
  <c r="Y22" i="5"/>
  <c r="Z22" i="5"/>
  <c r="AB22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P28" i="5"/>
  <c r="Y28" i="5"/>
  <c r="AA28" i="5"/>
  <c r="AB28" i="5"/>
  <c r="Y29" i="5"/>
  <c r="AA29" i="5"/>
  <c r="AB29" i="5"/>
  <c r="Y30" i="5"/>
  <c r="Z30" i="5"/>
  <c r="AA30" i="5"/>
  <c r="AB30" i="5"/>
  <c r="Y31" i="5"/>
  <c r="AA31" i="5"/>
  <c r="AB31" i="5"/>
  <c r="P32" i="5"/>
  <c r="Q32" i="5"/>
  <c r="R32" i="5"/>
  <c r="S32" i="5"/>
  <c r="U32" i="5"/>
  <c r="Y32" i="5"/>
  <c r="I33" i="5"/>
  <c r="J33" i="5"/>
  <c r="L33" i="5"/>
  <c r="P33" i="5"/>
  <c r="Y33" i="5"/>
  <c r="O34" i="5"/>
  <c r="R34" i="5"/>
  <c r="S34" i="5"/>
  <c r="T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Y37" i="5"/>
  <c r="G39" i="5"/>
  <c r="Y39" i="5"/>
  <c r="F40" i="5"/>
  <c r="P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<sst xmlns="http://schemas.openxmlformats.org/spreadsheetml/2006/main" count="598" uniqueCount="129">
  <si>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</si>
  <si>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</si>
  <si>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</si>
  <si>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</si>
  <si>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</si>
  <si>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</si>
  <si>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</si>
  <si>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</si>
  <si>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</si>
  <si>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</si>
  <si>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</si>
  <si>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</si>
  <si>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</si>
  <si>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</si>
  <si>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</si>
  <si>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</si>
  <si>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</si>
  <si>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</si>
  <si>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</si>
  <si>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</si>
  <si>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</si>
  <si>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</si>
  <si>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</si>
  <si>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</si>
  <si>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</si>
  <si>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</si>
  <si>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</si>
  <si>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</si>
  <si>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</si>
  <si>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</si>
  <si>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</si>
  <si>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</si>
  <si>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</si>
  <si>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</si>
  <si>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</si>
  <si>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</si>
  <si>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</si>
  <si>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</si>
  <si>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</si>
  <si>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</si>
  <si>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</si>
  <si>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</si>
  <si>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</si>
  <si>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</si>
  <si>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</si>
  <si>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</si>
  <si>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</si>
  <si>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</si>
  <si>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</si>
  <si>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</si>
  <si>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</si>
  <si>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</si>
  <si>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</si>
  <si>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</si>
  <si>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</si>
  <si>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</si>
  <si>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</si>
  <si>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</si>
  <si>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</si>
  <si>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</si>
  <si>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</si>
  <si>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</si>
  <si>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</si>
  <si>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</si>
  <si>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</si>
  <si>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</si>
  <si>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</si>
  <si>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</si>
  <si>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</si>
  <si>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</si>
  <si>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</si>
  <si>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</si>
  <si>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</si>
  <si>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</si>
  <si>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</si>
  <si>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</si>
  <si>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</si>
  <si>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</si>
  <si>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</si>
  <si>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</si>
  <si>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</si>
  <si>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</si>
  <si>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</si>
  <si>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</si>
  <si>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</si>
  <si>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</si>
  <si>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</si>
  <si>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</si>
  <si>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</si>
  <si>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</si>
  <si>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</si>
  <si>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</si>
  <si>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</si>
  <si>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</si>
  <si>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</si>
  <si>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</si>
  <si>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</si>
  <si>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</si>
  <si>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</si>
  <si>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</si>
  <si>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</si>
  <si>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</si>
  <si>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</si>
  <si>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</si>
  <si>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</si>
  <si>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</si>
  <si>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</si>
  <si>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</si>
  <si>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</si>
  <si>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</si>
  <si>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</si>
  <si>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</si>
  <si>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</si>
  <si>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</si>
  <si>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</si>
  <si>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</si>
  <si>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</si>
  <si>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</si>
  <si>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</si>
  <si>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</si>
  <si>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</si>
  <si>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</si>
  <si>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</si>
  <si>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</si>
  <si>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</si>
  <si>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</si>
  <si>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24, 1999</t>
  </si>
  <si>
    <t>NEPCO - MISC</t>
  </si>
  <si>
    <t>Capital dollars spent for 1/2 of redesign of the Gleason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</si>
</sst>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11" xfId="1" applyNumberFormat="1" applyFont="1" applyFill="1" applyBorder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11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14778294</v>
          </cell>
        </row>
        <row r="81">
          <cell r="BR81">
            <v>8085446</v>
          </cell>
        </row>
        <row r="114">
          <cell r="BR114">
            <v>34097183</v>
          </cell>
        </row>
        <row r="119">
          <cell r="BR119">
            <v>5336759</v>
          </cell>
        </row>
        <row r="131">
          <cell r="BR131">
            <v>940200</v>
          </cell>
        </row>
        <row r="132">
          <cell r="BR132">
            <v>2824800</v>
          </cell>
        </row>
        <row r="133">
          <cell r="BR133">
            <v>3066700</v>
          </cell>
        </row>
        <row r="147">
          <cell r="BR147">
            <v>9479079</v>
          </cell>
        </row>
        <row r="156">
          <cell r="BR156">
            <v>908786</v>
          </cell>
        </row>
        <row r="160">
          <cell r="BR160">
            <v>216381.67</v>
          </cell>
        </row>
        <row r="162">
          <cell r="BR162">
            <v>500000</v>
          </cell>
        </row>
        <row r="164">
          <cell r="BR164">
            <v>1253881</v>
          </cell>
        </row>
        <row r="171">
          <cell r="BR171">
            <v>2305818.14</v>
          </cell>
        </row>
        <row r="178">
          <cell r="BR178">
            <v>400000</v>
          </cell>
        </row>
        <row r="180">
          <cell r="BR180">
            <v>1000000</v>
          </cell>
        </row>
        <row r="182">
          <cell r="BR182">
            <v>6500000</v>
          </cell>
        </row>
        <row r="188">
          <cell r="BR188">
            <v>1500000</v>
          </cell>
        </row>
        <row r="190">
          <cell r="BR190">
            <v>266248.5</v>
          </cell>
        </row>
        <row r="192">
          <cell r="BR192">
            <v>200000</v>
          </cell>
        </row>
        <row r="201">
          <cell r="BR201">
            <v>852295.78</v>
          </cell>
        </row>
        <row r="208">
          <cell r="BR208">
            <v>508959.45999999996</v>
          </cell>
        </row>
        <row r="224">
          <cell r="AN224">
            <v>52217</v>
          </cell>
        </row>
        <row r="240">
          <cell r="BR240">
            <v>255807308.35914081</v>
          </cell>
        </row>
      </sheetData>
      <sheetData sheetId="6">
        <row r="216">
          <cell r="BT216">
            <v>1004015.0633333332</v>
          </cell>
        </row>
      </sheetData>
      <sheetData sheetId="7">
        <row r="16">
          <cell r="BT16">
            <v>95323101</v>
          </cell>
        </row>
        <row r="35">
          <cell r="BT35">
            <v>5893811</v>
          </cell>
        </row>
        <row r="59">
          <cell r="BT59">
            <v>14950614</v>
          </cell>
        </row>
        <row r="87">
          <cell r="BT87">
            <v>5163899</v>
          </cell>
        </row>
        <row r="119">
          <cell r="BT119">
            <v>12396887</v>
          </cell>
        </row>
        <row r="124">
          <cell r="BT124">
            <v>12059700</v>
          </cell>
        </row>
        <row r="131">
          <cell r="BT131">
            <v>929800</v>
          </cell>
        </row>
        <row r="132">
          <cell r="BT132">
            <v>2840700</v>
          </cell>
        </row>
        <row r="133">
          <cell r="BT133">
            <v>3066700</v>
          </cell>
        </row>
        <row r="165">
          <cell r="BT165">
            <v>908786</v>
          </cell>
        </row>
        <row r="171">
          <cell r="BT171">
            <v>675000</v>
          </cell>
        </row>
        <row r="173">
          <cell r="BT173">
            <v>1247007</v>
          </cell>
        </row>
        <row r="180">
          <cell r="BT180">
            <v>369041</v>
          </cell>
        </row>
        <row r="190">
          <cell r="BT190">
            <v>540000</v>
          </cell>
        </row>
        <row r="197">
          <cell r="BT197">
            <v>3700000</v>
          </cell>
        </row>
        <row r="199">
          <cell r="BT199">
            <v>1100000</v>
          </cell>
        </row>
        <row r="205">
          <cell r="BT205">
            <v>500000</v>
          </cell>
        </row>
        <row r="207">
          <cell r="BT207">
            <v>200935.25</v>
          </cell>
        </row>
        <row r="209">
          <cell r="BT209">
            <v>200000</v>
          </cell>
        </row>
        <row r="218">
          <cell r="AT218">
            <v>153337.04</v>
          </cell>
          <cell r="BT218">
            <v>623216.18000000005</v>
          </cell>
        </row>
        <row r="224">
          <cell r="AT224">
            <v>259842.83000000002</v>
          </cell>
          <cell r="BT224">
            <v>752208.46</v>
          </cell>
        </row>
        <row r="230">
          <cell r="BT230">
            <v>0</v>
          </cell>
        </row>
        <row r="237">
          <cell r="AR237">
            <v>65</v>
          </cell>
        </row>
        <row r="240">
          <cell r="BT240">
            <v>174289057.04617175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12576560</v>
          </cell>
        </row>
        <row r="82">
          <cell r="BR82">
            <v>5240384</v>
          </cell>
        </row>
        <row r="114">
          <cell r="BR114">
            <v>12176761</v>
          </cell>
        </row>
        <row r="119">
          <cell r="BR119">
            <v>9880464</v>
          </cell>
        </row>
        <row r="127">
          <cell r="BR127">
            <v>929800</v>
          </cell>
        </row>
        <row r="128">
          <cell r="BR128">
            <v>2386700</v>
          </cell>
        </row>
        <row r="129">
          <cell r="BR129">
            <v>3066700</v>
          </cell>
        </row>
        <row r="151">
          <cell r="BR151">
            <v>1500000</v>
          </cell>
        </row>
        <row r="153">
          <cell r="BR153">
            <v>50000</v>
          </cell>
        </row>
        <row r="155">
          <cell r="BR155">
            <v>1172731</v>
          </cell>
        </row>
        <row r="162">
          <cell r="BR162">
            <v>1117943.8600000001</v>
          </cell>
        </row>
        <row r="169">
          <cell r="BR169">
            <v>450000</v>
          </cell>
        </row>
        <row r="171">
          <cell r="BR171">
            <v>5000000</v>
          </cell>
        </row>
        <row r="173">
          <cell r="BR173">
            <v>1500000</v>
          </cell>
        </row>
        <row r="179">
          <cell r="BR179">
            <v>1000000</v>
          </cell>
        </row>
        <row r="181">
          <cell r="BR181">
            <v>200000</v>
          </cell>
        </row>
        <row r="183">
          <cell r="BR183">
            <v>200000</v>
          </cell>
        </row>
        <row r="192">
          <cell r="BR192">
            <v>754273.98</v>
          </cell>
        </row>
        <row r="199">
          <cell r="AR199">
            <v>320554.97000000003</v>
          </cell>
          <cell r="BR199">
            <v>652208.46</v>
          </cell>
        </row>
        <row r="205">
          <cell r="BP205">
            <v>0.10000000009313226</v>
          </cell>
        </row>
        <row r="215">
          <cell r="AN215">
            <v>36835</v>
          </cell>
          <cell r="AP215">
            <v>-36835</v>
          </cell>
        </row>
        <row r="232">
          <cell r="BR232">
            <v>161049581.52545127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Plants\Draw Schedule\[Draw Sched - 011100.xls]Wilton</v>
      </c>
    </row>
    <row r="3" spans="1:23" s="2" customFormat="1" ht="15.75" x14ac:dyDescent="0.25">
      <c r="A3" s="1" t="s">
        <v>2</v>
      </c>
      <c r="F3" s="3"/>
      <c r="V3" s="24">
        <f ca="1">NOW()</f>
        <v>36536.318263425928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 t="s">
        <v>4</v>
      </c>
      <c r="Q5" s="61"/>
      <c r="R5" s="61"/>
      <c r="S5" s="61"/>
      <c r="T5" s="61"/>
      <c r="U5" s="61"/>
      <c r="V5" s="61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E1" workbookViewId="0">
      <selection activeCell="E1" sqref="E1"/>
    </sheetView>
  </sheetViews>
  <sheetFormatPr defaultRowHeight="12.75" x14ac:dyDescent="0.2"/>
  <cols>
    <col min="1" max="1" width="23.42578125" customWidth="1"/>
    <col min="2" max="2" width="2" customWidth="1"/>
    <col min="3" max="3" width="11.28515625" bestFit="1" customWidth="1"/>
    <col min="4" max="25" width="12.28515625" bestFit="1" customWidth="1"/>
    <col min="26" max="26" width="13.85546875" bestFit="1" customWidth="1"/>
    <col min="27" max="27" width="12.28515625" bestFit="1" customWidth="1"/>
  </cols>
  <sheetData>
    <row r="1" spans="1:31" ht="15.75" x14ac:dyDescent="0.25">
      <c r="A1" s="1" t="s">
        <v>0</v>
      </c>
    </row>
    <row r="2" spans="1:31" ht="15.75" x14ac:dyDescent="0.25">
      <c r="A2" s="1" t="s">
        <v>1</v>
      </c>
    </row>
    <row r="3" spans="1:31" ht="15.75" x14ac:dyDescent="0.25">
      <c r="A3" s="1" t="s">
        <v>103</v>
      </c>
    </row>
    <row r="4" spans="1:31" ht="15.75" x14ac:dyDescent="0.25">
      <c r="A4" s="1" t="s">
        <v>2</v>
      </c>
    </row>
    <row r="7" spans="1:31" s="6" customFormat="1" x14ac:dyDescent="0.2">
      <c r="A7" s="5"/>
      <c r="C7" s="7">
        <v>1998</v>
      </c>
      <c r="D7" s="61" t="s">
        <v>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4</v>
      </c>
      <c r="Q7" s="61"/>
      <c r="R7" s="61"/>
      <c r="S7" s="61"/>
      <c r="T7" s="61"/>
      <c r="U7" s="61"/>
      <c r="V7" s="61"/>
    </row>
    <row r="8" spans="1:31" s="6" customFormat="1" x14ac:dyDescent="0.2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20.25" x14ac:dyDescent="0.55000000000000004">
      <c r="A9" s="32" t="s">
        <v>80</v>
      </c>
      <c r="U9" s="31"/>
      <c r="V9" s="31"/>
    </row>
    <row r="10" spans="1:31" x14ac:dyDescent="0.2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33876927.191300653</v>
      </c>
      <c r="Q11" s="44">
        <f>Wilton!Q47</f>
        <v>16546569.323986357</v>
      </c>
      <c r="R11" s="44">
        <f>Wilton!R47</f>
        <v>10054162.666703288</v>
      </c>
      <c r="S11" s="44">
        <f>Wilton!S47</f>
        <v>11073004.9908747</v>
      </c>
      <c r="T11" s="44">
        <f>Wilton!T47</f>
        <v>6221424.1789527787</v>
      </c>
      <c r="U11" s="44">
        <f>Wilton!U47</f>
        <v>15006427.101952353</v>
      </c>
      <c r="V11" s="44">
        <f>Wilton!Y47</f>
        <v>255230883.10280746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">
      <c r="A13" s="5" t="s">
        <v>116</v>
      </c>
      <c r="C13" s="44">
        <f>Gleason!C46</f>
        <v>0</v>
      </c>
      <c r="D13" s="44">
        <f>Gleason!D46</f>
        <v>0</v>
      </c>
      <c r="E13" s="44">
        <f>Gleason!E46</f>
        <v>0</v>
      </c>
      <c r="F13" s="44">
        <f>Gleason!F46</f>
        <v>0</v>
      </c>
      <c r="G13" s="44">
        <f>Gleason!G46</f>
        <v>0</v>
      </c>
      <c r="H13" s="44">
        <f>Gleason!H46</f>
        <v>0</v>
      </c>
      <c r="I13" s="44">
        <f>Gleason!I46</f>
        <v>0</v>
      </c>
      <c r="J13" s="44">
        <f>Gleason!J46</f>
        <v>0</v>
      </c>
      <c r="K13" s="44">
        <f>Gleason!L46</f>
        <v>93174572.049999997</v>
      </c>
      <c r="L13" s="44">
        <f>Gleason!M46</f>
        <v>706459.92999999993</v>
      </c>
      <c r="M13" s="44">
        <f>Gleason!N46</f>
        <v>2178270.2560097221</v>
      </c>
      <c r="N13" s="44">
        <f>Gleason!O46</f>
        <v>7520808.7565631075</v>
      </c>
      <c r="O13" s="44">
        <f>Gleason!P46</f>
        <v>3283904.4486069917</v>
      </c>
      <c r="P13" s="44">
        <f>Gleason!Q46</f>
        <v>11433319.588479076</v>
      </c>
      <c r="Q13" s="44">
        <f>Gleason!R46</f>
        <v>10147138.308420839</v>
      </c>
      <c r="R13" s="44">
        <f>Gleason!S46</f>
        <v>9506464.5886539556</v>
      </c>
      <c r="S13" s="44">
        <f>Gleason!T46</f>
        <v>9835545.0045133233</v>
      </c>
      <c r="T13" s="44">
        <f>Gleason!U46</f>
        <v>7899301.497458146</v>
      </c>
      <c r="U13" s="44">
        <f>Gleason!V46</f>
        <v>15010252.751911042</v>
      </c>
      <c r="V13" s="44">
        <f>Gleason!Z46</f>
        <v>170696037.18061623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4677967.76</v>
      </c>
      <c r="P15" s="44">
        <f>Wheatland!P46</f>
        <v>9183547.0144625977</v>
      </c>
      <c r="Q15" s="44">
        <f>Wheatland!Q46</f>
        <v>10725413.53932398</v>
      </c>
      <c r="R15" s="44">
        <f>Wheatland!R46</f>
        <v>10880344.293946709</v>
      </c>
      <c r="S15" s="44">
        <f>Wheatland!S46</f>
        <v>7965580.4850180876</v>
      </c>
      <c r="T15" s="44">
        <f>Wheatland!T46</f>
        <v>7479298.3144527674</v>
      </c>
      <c r="U15" s="44">
        <f>Wheatland!U46</f>
        <v>16276139.311096884</v>
      </c>
      <c r="V15" s="44">
        <f>Wheatland!Y46</f>
        <v>160839031.56088302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47272055.617235586</v>
      </c>
      <c r="P17" s="44">
        <f t="shared" si="0"/>
        <v>54493793.79424233</v>
      </c>
      <c r="Q17" s="44">
        <f t="shared" si="0"/>
        <v>37419121.171731174</v>
      </c>
      <c r="R17" s="44">
        <f t="shared" si="0"/>
        <v>30440971.549303953</v>
      </c>
      <c r="S17" s="44">
        <f t="shared" si="0"/>
        <v>28874130.480406113</v>
      </c>
      <c r="T17" s="44">
        <f t="shared" si="0"/>
        <v>21600023.990863692</v>
      </c>
      <c r="U17" s="44">
        <f t="shared" si="0"/>
        <v>46292819.16496028</v>
      </c>
      <c r="V17" s="44">
        <f t="shared" si="0"/>
        <v>586765951.84430671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365474907.23719913</v>
      </c>
      <c r="P18" s="4">
        <f t="shared" si="1"/>
        <v>419968701.03144145</v>
      </c>
      <c r="Q18" s="4">
        <f t="shared" si="1"/>
        <v>457387822.20317262</v>
      </c>
      <c r="R18" s="4">
        <f t="shared" si="1"/>
        <v>487828793.75247657</v>
      </c>
      <c r="S18" s="4">
        <f t="shared" si="1"/>
        <v>516702924.23288268</v>
      </c>
      <c r="T18" s="4">
        <f t="shared" si="1"/>
        <v>538302948.22374642</v>
      </c>
      <c r="U18" s="9">
        <f t="shared" si="1"/>
        <v>584595767.38870668</v>
      </c>
      <c r="V18" s="9"/>
      <c r="W18" s="9"/>
      <c r="X18" s="9"/>
      <c r="Y18" s="9"/>
      <c r="Z18" s="9"/>
      <c r="AA18" s="9"/>
    </row>
    <row r="19" spans="1:45" s="4" customFormat="1" x14ac:dyDescent="0.2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52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51"/>
    </row>
    <row r="2" spans="1:26" s="2" customFormat="1" ht="15.75" x14ac:dyDescent="0.25">
      <c r="A2" s="1" t="s">
        <v>1</v>
      </c>
      <c r="D2" s="1" t="str">
        <f>Wilton!D2</f>
        <v>Last updated:  Actuals through December 24, 1999</v>
      </c>
      <c r="L2" s="51"/>
      <c r="X2" s="25" t="str">
        <f ca="1">CELL("filename")</f>
        <v>O:\Fin_Ops\Engysvc\PowerPlants\2000 Plants\Draw Schedule\[Draw Sched - 011100.xls]Wilton</v>
      </c>
    </row>
    <row r="3" spans="1:26" s="2" customFormat="1" ht="15.75" x14ac:dyDescent="0.25">
      <c r="A3" s="1" t="s">
        <v>2</v>
      </c>
      <c r="D3" s="26"/>
      <c r="F3" s="3"/>
      <c r="L3" s="51"/>
      <c r="X3" s="24">
        <f ca="1">NOW()</f>
        <v>36536.318263425928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7"/>
      <c r="X47" s="11"/>
    </row>
    <row r="48" spans="1:25" s="4" customFormat="1" x14ac:dyDescent="0.2">
      <c r="L48" s="57"/>
    </row>
    <row r="49" spans="1:27" s="4" customFormat="1" x14ac:dyDescent="0.2">
      <c r="L49" s="57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7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7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-332485.19333333324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C7" activePane="bottomRight" state="frozen"/>
      <selection activeCell="E1" sqref="E1"/>
      <selection pane="topRight" activeCell="E1" sqref="E1"/>
      <selection pane="bottomLeft" activeCell="E1" sqref="E1"/>
      <selection pane="bottomRight" activeCell="C7" sqref="C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1.28515625" style="18" bestFit="1" customWidth="1"/>
    <col min="6" max="6" width="12.28515625" style="18" bestFit="1" customWidth="1"/>
    <col min="7" max="7" width="11.28515625" style="18" bestFit="1" customWidth="1"/>
    <col min="8" max="8" width="12" style="18" customWidth="1"/>
    <col min="9" max="10" width="11.28515625" style="18" bestFit="1" customWidth="1"/>
    <col min="11" max="13" width="12.28515625" style="18" bestFit="1" customWidth="1"/>
    <col min="14" max="14" width="12.85546875" style="18" bestFit="1" customWidth="1"/>
    <col min="15" max="15" width="12.28515625" style="18" bestFit="1" customWidth="1"/>
    <col min="16" max="16" width="14.42578125" style="18" bestFit="1" customWidth="1"/>
    <col min="17" max="17" width="12.85546875" style="18" bestFit="1" customWidth="1"/>
    <col min="18" max="20" width="12.28515625" style="18" bestFit="1" customWidth="1"/>
    <col min="21" max="24" width="13.85546875" style="18" customWidth="1"/>
    <col min="25" max="25" width="14.42578125" style="4" customWidth="1"/>
    <col min="26" max="26" width="20" style="18" bestFit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126</v>
      </c>
      <c r="Y2" s="25" t="str">
        <f ca="1">CELL("filename")</f>
        <v>O:\Fin_Ops\Engysvc\PowerPlants\2000 Plants\Draw Schedule\[Draw Sched - 011100.xls]Wilton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36536.318263541667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P10" s="18">
        <v>13325691</v>
      </c>
      <c r="Q10" s="18">
        <v>0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Y11" s="11">
        <f t="shared" ref="Y11:Y34" si="0">SUM(C11:X11)</f>
        <v>5916047.5999999996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-0.40000000037252903</v>
      </c>
    </row>
    <row r="12" spans="1:28" x14ac:dyDescent="0.2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P12" s="18">
        <v>1183814.8799999999</v>
      </c>
      <c r="Q12" s="18">
        <v>1775722.31</v>
      </c>
      <c r="R12" s="18">
        <v>1302196.3600000001</v>
      </c>
      <c r="U12" s="17">
        <f>473525.95+8560</f>
        <v>482085.95</v>
      </c>
      <c r="V12" s="17"/>
      <c r="W12" s="17"/>
      <c r="X12" s="17"/>
      <c r="Y12" s="11">
        <f t="shared" si="0"/>
        <v>9479079.2999999989</v>
      </c>
      <c r="Z12" s="19" t="str">
        <f>Z11</f>
        <v>Mike Miller</v>
      </c>
      <c r="AA12" s="18">
        <f>[1]Wilton!$BR$147</f>
        <v>9479079</v>
      </c>
      <c r="AB12" s="18">
        <f t="shared" si="1"/>
        <v>0.29999999888241291</v>
      </c>
    </row>
    <row r="13" spans="1:28" x14ac:dyDescent="0.2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20" si="3">Z12</f>
        <v>Mike Miller</v>
      </c>
      <c r="AA13" s="18">
        <f>[1]Wilton!$BR$131</f>
        <v>940200</v>
      </c>
      <c r="AB13" s="18">
        <f t="shared" si="1"/>
        <v>-3.3333331812173128E-3</v>
      </c>
    </row>
    <row r="14" spans="1:28" x14ac:dyDescent="0.2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f t="shared" si="4"/>
        <v>235400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</f>
        <v>235403</v>
      </c>
      <c r="Y14" s="11">
        <f t="shared" si="0"/>
        <v>2824800</v>
      </c>
      <c r="Z14" s="19" t="str">
        <f t="shared" si="3"/>
        <v>Mike Miller</v>
      </c>
      <c r="AA14" s="18">
        <f>[1]Wilton!$BR$132</f>
        <v>2824800</v>
      </c>
      <c r="AB14" s="18">
        <f t="shared" si="1"/>
        <v>0</v>
      </c>
    </row>
    <row r="15" spans="1:28" x14ac:dyDescent="0.2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[1]Wilton!$BR$133</f>
        <v>3066700</v>
      </c>
      <c r="AB15" s="18">
        <f t="shared" si="1"/>
        <v>0</v>
      </c>
    </row>
    <row r="16" spans="1:28" x14ac:dyDescent="0.2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f>(0.6104-0.3765)*AA16</f>
        <v>3456642.9666000009</v>
      </c>
      <c r="Q16" s="18">
        <f>(0.7911-0.6104)*AA16</f>
        <v>2670437.7257999997</v>
      </c>
      <c r="R16" s="18">
        <f>(0.8836-0.7911)*AA16</f>
        <v>1366992.1950000003</v>
      </c>
      <c r="S16" s="18">
        <f>(0.9397-0.8836)*AA16</f>
        <v>829062.29339999892</v>
      </c>
      <c r="T16" s="18">
        <f>(0.9868-0.9397)*AA16</f>
        <v>696057.64740000048</v>
      </c>
      <c r="U16" s="18">
        <f>(1-0.9868)*AA16</f>
        <v>195073.48079999984</v>
      </c>
      <c r="Y16" s="11">
        <f t="shared" si="0"/>
        <v>10713043.309</v>
      </c>
      <c r="Z16" s="19" t="str">
        <f t="shared" si="3"/>
        <v>Mike Miller</v>
      </c>
      <c r="AA16" s="18">
        <f>[1]Wilton!$BR$55</f>
        <v>14778294</v>
      </c>
      <c r="AB16" s="18">
        <f t="shared" si="1"/>
        <v>-4065250.6909999996</v>
      </c>
    </row>
    <row r="17" spans="1:28" x14ac:dyDescent="0.2">
      <c r="A17" s="17" t="s">
        <v>120</v>
      </c>
      <c r="F17" s="8"/>
      <c r="N17" s="18">
        <v>3301</v>
      </c>
      <c r="O17" s="18">
        <v>346618</v>
      </c>
      <c r="P17" s="18">
        <f>(0.6104-0.3765)*AA17</f>
        <v>1891185.8194000004</v>
      </c>
      <c r="Q17" s="18">
        <f>(0.7911-0.6104)*AA17</f>
        <v>1461040.0921999998</v>
      </c>
      <c r="R17" s="18">
        <f>(0.8836-0.7911)*AA17</f>
        <v>747903.75500000024</v>
      </c>
      <c r="S17" s="18">
        <f>(0.9397-0.8836)*AA17</f>
        <v>453593.52059999941</v>
      </c>
      <c r="T17" s="18">
        <f>(0.9868-0.9397)*AA17</f>
        <v>380824.50660000026</v>
      </c>
      <c r="U17" s="18">
        <f>(1-0.9868)*AA17</f>
        <v>106727.88719999991</v>
      </c>
      <c r="Y17" s="11">
        <f t="shared" si="0"/>
        <v>5391194.5809999993</v>
      </c>
      <c r="Z17" s="19" t="str">
        <f t="shared" si="3"/>
        <v>Mike Miller</v>
      </c>
      <c r="AA17" s="18">
        <f>[1]Wilton!$BR$81</f>
        <v>8085446</v>
      </c>
      <c r="AB17" s="18">
        <f t="shared" si="1"/>
        <v>-2694251.4190000007</v>
      </c>
    </row>
    <row r="18" spans="1:28" x14ac:dyDescent="0.2">
      <c r="A18" s="17" t="s">
        <v>121</v>
      </c>
      <c r="F18" s="8"/>
      <c r="N18" s="18">
        <v>0</v>
      </c>
      <c r="O18" s="18">
        <v>2569929</v>
      </c>
      <c r="P18" s="18">
        <f>(0.6104-0.3765)*AA18</f>
        <v>7975331.1037000017</v>
      </c>
      <c r="Q18" s="18">
        <f>(0.7911-0.6104)*AA18</f>
        <v>6161360.9680999992</v>
      </c>
      <c r="R18" s="18">
        <f>(0.8836-0.7911)*AA18</f>
        <v>3153989.4275000007</v>
      </c>
      <c r="S18" s="18">
        <f>(0.9397-0.8836)*AA18+3341072</f>
        <v>5253923.9662999976</v>
      </c>
      <c r="T18" s="18">
        <f>(0.9868-0.9397)*AA18</f>
        <v>1605977.319300001</v>
      </c>
      <c r="U18" s="18">
        <f>(1-0.9868)*AA18</f>
        <v>450082.81559999962</v>
      </c>
      <c r="Y18" s="11">
        <f t="shared" si="0"/>
        <v>27170594.600499999</v>
      </c>
      <c r="Z18" s="19" t="str">
        <f t="shared" si="3"/>
        <v>Mike Miller</v>
      </c>
      <c r="AA18" s="18">
        <f>[1]Wilton!$BR$114</f>
        <v>34097183</v>
      </c>
      <c r="AB18" s="18">
        <f t="shared" si="1"/>
        <v>-6926588.3995000012</v>
      </c>
    </row>
    <row r="19" spans="1:28" x14ac:dyDescent="0.2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f>(0.6104-0.3765)*AA19</f>
        <v>1248267.9301000002</v>
      </c>
      <c r="Q19" s="18">
        <f>(0.7911-0.6104)*AA19</f>
        <v>964352.35129999986</v>
      </c>
      <c r="R19" s="18">
        <f>(0.8836-0.7911)*AA19</f>
        <v>493650.20750000014</v>
      </c>
      <c r="S19" s="18">
        <f>(0.9397-0.8836)*AA19</f>
        <v>299392.17989999964</v>
      </c>
      <c r="T19" s="18">
        <f>(0.9868-0.9397)*AA19</f>
        <v>251361.34890000016</v>
      </c>
      <c r="U19" s="18">
        <f>(1-0.9868)*AA19</f>
        <v>70445.218799999944</v>
      </c>
      <c r="Y19" s="11">
        <f t="shared" si="0"/>
        <v>3355857.2365000001</v>
      </c>
      <c r="Z19" s="19" t="str">
        <f t="shared" si="3"/>
        <v>Mike Miller</v>
      </c>
      <c r="AA19" s="18">
        <f>[1]Wilton!$BR$119</f>
        <v>5336759</v>
      </c>
      <c r="AB19" s="18">
        <f t="shared" si="1"/>
        <v>-1980901.7634999999</v>
      </c>
    </row>
    <row r="20" spans="1:28" x14ac:dyDescent="0.2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 t="shared" si="3"/>
        <v>Mike Miller</v>
      </c>
      <c r="AA20" s="18">
        <f>[1]Wilton!$BR$162</f>
        <v>500000</v>
      </c>
      <c r="AB20" s="18">
        <f t="shared" si="1"/>
        <v>0</v>
      </c>
    </row>
    <row r="21" spans="1:28" x14ac:dyDescent="0.2">
      <c r="A21" s="17" t="s">
        <v>127</v>
      </c>
      <c r="F21" s="8"/>
      <c r="O21" s="18">
        <f>41000+531</f>
        <v>41531</v>
      </c>
      <c r="Y21" s="11">
        <f t="shared" si="0"/>
        <v>41531</v>
      </c>
      <c r="Z21" s="19"/>
      <c r="AA21" s="18">
        <v>41531</v>
      </c>
      <c r="AB21" s="18">
        <f t="shared" si="1"/>
        <v>0</v>
      </c>
    </row>
    <row r="22" spans="1:28" x14ac:dyDescent="0.2">
      <c r="A22" s="17" t="s">
        <v>124</v>
      </c>
      <c r="F22" s="8"/>
      <c r="N22" s="18">
        <v>8573073</v>
      </c>
      <c r="O22" s="18">
        <v>7093919</v>
      </c>
      <c r="Y22" s="11">
        <f t="shared" si="0"/>
        <v>15666992</v>
      </c>
      <c r="Z22" s="19" t="str">
        <f>Z20</f>
        <v>Mike Miller</v>
      </c>
      <c r="AB22" s="18">
        <f t="shared" si="1"/>
        <v>15666992</v>
      </c>
    </row>
    <row r="23" spans="1:28" x14ac:dyDescent="0.2">
      <c r="A23" s="17" t="s">
        <v>42</v>
      </c>
      <c r="C23" s="4">
        <v>0</v>
      </c>
      <c r="F23" s="8"/>
      <c r="P23" s="18">
        <v>125000</v>
      </c>
      <c r="Q23" s="18">
        <v>125000</v>
      </c>
      <c r="R23" s="18">
        <v>125000</v>
      </c>
      <c r="S23" s="18">
        <v>125000</v>
      </c>
      <c r="T23" s="18">
        <v>125000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[1]Wilton!$BR$156</f>
        <v>908786</v>
      </c>
      <c r="AB23" s="18">
        <f t="shared" si="1"/>
        <v>0</v>
      </c>
    </row>
    <row r="24" spans="1:28" x14ac:dyDescent="0.2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[1]Wilton!$BR$164</f>
        <v>1253881</v>
      </c>
      <c r="AB24" s="18">
        <f t="shared" si="1"/>
        <v>0</v>
      </c>
    </row>
    <row r="25" spans="1:28" x14ac:dyDescent="0.2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Y25" s="11">
        <f t="shared" si="0"/>
        <v>2305818</v>
      </c>
      <c r="Z25" s="19" t="s">
        <v>52</v>
      </c>
      <c r="AA25" s="18">
        <f>[1]Wilton!$BR$171</f>
        <v>2305818.14</v>
      </c>
      <c r="AB25" s="18">
        <f t="shared" si="1"/>
        <v>-0.14000000013038516</v>
      </c>
    </row>
    <row r="26" spans="1:28" x14ac:dyDescent="0.2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78892</v>
      </c>
      <c r="Q26" s="18">
        <v>51338</v>
      </c>
      <c r="U26" s="18">
        <v>0</v>
      </c>
      <c r="Y26" s="11">
        <f t="shared" si="0"/>
        <v>349954.45999999996</v>
      </c>
      <c r="Z26" s="19" t="str">
        <f>Z25</f>
        <v>Scott Healy</v>
      </c>
    </row>
    <row r="27" spans="1:28" x14ac:dyDescent="0.2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Y27" s="11">
        <f t="shared" si="0"/>
        <v>216382</v>
      </c>
      <c r="Z27" s="19"/>
      <c r="AA27" s="18">
        <f>[1]Wilton!$BR$160</f>
        <v>216381.67</v>
      </c>
      <c r="AB27" s="18">
        <f t="shared" si="1"/>
        <v>0.32999999998719431</v>
      </c>
    </row>
    <row r="28" spans="1:28" x14ac:dyDescent="0.2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f>1000000-50050-160616-8228</f>
        <v>781106</v>
      </c>
      <c r="Y28" s="11">
        <f t="shared" si="0"/>
        <v>1000000</v>
      </c>
      <c r="Z28" s="19" t="s">
        <v>53</v>
      </c>
      <c r="AA28" s="18">
        <f>[1]Wilton!$BR$180</f>
        <v>1000000</v>
      </c>
      <c r="AB28" s="18">
        <f t="shared" si="1"/>
        <v>0</v>
      </c>
    </row>
    <row r="29" spans="1:28" x14ac:dyDescent="0.2">
      <c r="A29" s="17" t="s">
        <v>25</v>
      </c>
      <c r="C29" s="4">
        <v>0</v>
      </c>
      <c r="F29" s="8"/>
      <c r="O29" s="18">
        <v>0</v>
      </c>
      <c r="P29" s="18">
        <v>1750000</v>
      </c>
      <c r="Q29" s="18">
        <v>1250000</v>
      </c>
      <c r="R29" s="18">
        <v>1250000</v>
      </c>
      <c r="S29" s="18">
        <v>1500000</v>
      </c>
      <c r="T29" s="18">
        <v>500000</v>
      </c>
      <c r="U29" s="18">
        <v>250000</v>
      </c>
      <c r="Y29" s="11">
        <f t="shared" si="0"/>
        <v>6500000</v>
      </c>
      <c r="Z29" s="19" t="s">
        <v>53</v>
      </c>
      <c r="AA29" s="18">
        <f>[1]Wilton!$BR$182</f>
        <v>6500000</v>
      </c>
      <c r="AB29" s="18">
        <f t="shared" si="1"/>
        <v>0</v>
      </c>
    </row>
    <row r="30" spans="1:28" x14ac:dyDescent="0.2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[1]Wilton!$BR$188</f>
        <v>1500000</v>
      </c>
      <c r="AB30" s="18">
        <f t="shared" si="1"/>
        <v>0</v>
      </c>
    </row>
    <row r="31" spans="1:28" x14ac:dyDescent="0.2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[1]Wilton!$BR$190</f>
        <v>266248.5</v>
      </c>
      <c r="AB31" s="18">
        <f t="shared" si="1"/>
        <v>0</v>
      </c>
    </row>
    <row r="32" spans="1:28" x14ac:dyDescent="0.2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f>200000/15</f>
        <v>13333.333333333334</v>
      </c>
      <c r="Q32" s="18">
        <f>200000/15</f>
        <v>13333.333333333334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</f>
        <v>40465</v>
      </c>
      <c r="V32" s="17"/>
      <c r="W32" s="17"/>
      <c r="X32" s="17"/>
      <c r="Y32" s="11">
        <f t="shared" si="0"/>
        <v>177396.25999999998</v>
      </c>
      <c r="Z32" s="19" t="s">
        <v>52</v>
      </c>
    </row>
    <row r="33" spans="1:27" x14ac:dyDescent="0.2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f>37613-2610</f>
        <v>35003</v>
      </c>
      <c r="Q33" s="18">
        <v>2610</v>
      </c>
      <c r="R33" s="18">
        <v>31732</v>
      </c>
      <c r="T33" s="17"/>
      <c r="Y33" s="11">
        <f t="shared" si="0"/>
        <v>508303.48</v>
      </c>
      <c r="Z33" s="19" t="s">
        <v>52</v>
      </c>
    </row>
    <row r="34" spans="1:27" x14ac:dyDescent="0.2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50000</v>
      </c>
      <c r="Q34" s="18">
        <v>19571</v>
      </c>
      <c r="R34" s="18">
        <f>5000+50000</f>
        <v>55000</v>
      </c>
      <c r="S34" s="18">
        <f>153+18251</f>
        <v>18404</v>
      </c>
      <c r="T34" s="18">
        <f>54925-5848.5</f>
        <v>49076.5</v>
      </c>
      <c r="U34" s="18">
        <v>15544</v>
      </c>
      <c r="Y34" s="11">
        <f t="shared" si="0"/>
        <v>498959.5</v>
      </c>
      <c r="Z34" s="19" t="s">
        <v>52</v>
      </c>
      <c r="AA34" s="18">
        <v>0</v>
      </c>
    </row>
    <row r="35" spans="1:27" x14ac:dyDescent="0.2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32819206.166466672</v>
      </c>
      <c r="Q35" s="21">
        <f t="shared" si="5"/>
        <v>15399703.914066665</v>
      </c>
      <c r="R35" s="21">
        <f t="shared" si="5"/>
        <v>8853130.6116666701</v>
      </c>
      <c r="S35" s="21">
        <f t="shared" si="5"/>
        <v>9812317.2935333289</v>
      </c>
      <c r="T35" s="21">
        <f t="shared" si="5"/>
        <v>4927218.6555333352</v>
      </c>
      <c r="U35" s="21">
        <f t="shared" si="5"/>
        <v>13631374.685733333</v>
      </c>
      <c r="V35" s="21"/>
      <c r="W35" s="21"/>
      <c r="X35" s="21"/>
      <c r="Y35" s="22">
        <f>SUM(C35:X35)</f>
        <v>242616708.57366669</v>
      </c>
    </row>
    <row r="36" spans="1:27" x14ac:dyDescent="0.2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189992963.41313332</v>
      </c>
      <c r="Q36" s="21">
        <f t="shared" si="6"/>
        <v>205392667.3272</v>
      </c>
      <c r="R36" s="21">
        <f t="shared" si="6"/>
        <v>214245797.93886667</v>
      </c>
      <c r="S36" s="21">
        <f t="shared" si="6"/>
        <v>224058115.2324</v>
      </c>
      <c r="T36" s="21">
        <f t="shared" si="6"/>
        <v>228985333.88793334</v>
      </c>
      <c r="U36" s="21">
        <f t="shared" si="6"/>
        <v>242616708.57366669</v>
      </c>
      <c r="V36" s="60"/>
      <c r="W36" s="60"/>
      <c r="X36" s="60"/>
      <c r="Y36" s="13"/>
    </row>
    <row r="37" spans="1:27" x14ac:dyDescent="0.2">
      <c r="A37" s="17" t="s">
        <v>64</v>
      </c>
      <c r="F37" s="8"/>
      <c r="Y37" s="16">
        <f>+Y35/C52/1000</f>
        <v>399.04063910142548</v>
      </c>
      <c r="Z37" s="20"/>
    </row>
    <row r="38" spans="1:27" x14ac:dyDescent="0.2">
      <c r="F38" s="8"/>
      <c r="Y38" s="11"/>
    </row>
    <row r="39" spans="1:27" x14ac:dyDescent="0.2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f t="shared" ref="P40:U40" si="7">(P36+O45)*$C50/12</f>
        <v>1057721.0248339802</v>
      </c>
      <c r="Q40" s="30">
        <f t="shared" si="7"/>
        <v>1146865.409919692</v>
      </c>
      <c r="R40" s="30">
        <f t="shared" si="7"/>
        <v>1201032.0550366181</v>
      </c>
      <c r="S40" s="30">
        <f t="shared" si="7"/>
        <v>1260687.6973413718</v>
      </c>
      <c r="T40" s="30">
        <f t="shared" si="7"/>
        <v>1294205.5234194433</v>
      </c>
      <c r="U40" s="30">
        <f t="shared" si="7"/>
        <v>1375052.416219021</v>
      </c>
      <c r="V40" s="30"/>
      <c r="W40" s="30"/>
      <c r="X40" s="30"/>
      <c r="Y40" s="11">
        <f>SUM(C40:X40)</f>
        <v>12619063.029140802</v>
      </c>
      <c r="Z40" s="19">
        <f>Z53</f>
        <v>0</v>
      </c>
    </row>
    <row r="41" spans="1:27" x14ac:dyDescent="0.2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">
      <c r="A44" s="17" t="s">
        <v>65</v>
      </c>
      <c r="C44" s="21">
        <f>SUM(C39:C43)</f>
        <v>340000</v>
      </c>
      <c r="D44" s="21">
        <f t="shared" ref="D44:U44" si="8">SUM(D39:D43)</f>
        <v>46410</v>
      </c>
      <c r="E44" s="21">
        <f t="shared" si="8"/>
        <v>139384</v>
      </c>
      <c r="F44" s="21">
        <f t="shared" si="8"/>
        <v>205882.6</v>
      </c>
      <c r="G44" s="21">
        <f t="shared" si="8"/>
        <v>297922.90000000002</v>
      </c>
      <c r="H44" s="21">
        <f t="shared" si="8"/>
        <v>368467</v>
      </c>
      <c r="I44" s="21">
        <f t="shared" si="8"/>
        <v>378615.55252083327</v>
      </c>
      <c r="J44" s="21">
        <f t="shared" ref="J44:O44" si="9">SUM(J39:J43)</f>
        <v>426070.36872754333</v>
      </c>
      <c r="K44" s="21">
        <f t="shared" si="9"/>
        <v>463990.37538870639</v>
      </c>
      <c r="L44" s="21">
        <f t="shared" si="9"/>
        <v>505649.68570277008</v>
      </c>
      <c r="M44" s="21">
        <f t="shared" si="9"/>
        <v>568176.30085850751</v>
      </c>
      <c r="N44" s="21">
        <f t="shared" si="9"/>
        <v>664222.29387704656</v>
      </c>
      <c r="O44" s="21">
        <f t="shared" si="9"/>
        <v>873819.32529526937</v>
      </c>
      <c r="P44" s="21">
        <f t="shared" si="8"/>
        <v>1057721.0248339802</v>
      </c>
      <c r="Q44" s="21">
        <f t="shared" si="8"/>
        <v>1146865.409919692</v>
      </c>
      <c r="R44" s="21">
        <f t="shared" si="8"/>
        <v>1201032.0550366181</v>
      </c>
      <c r="S44" s="21">
        <f t="shared" si="8"/>
        <v>1260687.6973413718</v>
      </c>
      <c r="T44" s="21">
        <f t="shared" si="8"/>
        <v>1294205.5234194433</v>
      </c>
      <c r="U44" s="21">
        <f t="shared" si="8"/>
        <v>1375052.416219021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12614174.529140802</v>
      </c>
      <c r="Z44" s="20"/>
    </row>
    <row r="45" spans="1:27" x14ac:dyDescent="0.2">
      <c r="A45" s="17" t="s">
        <v>68</v>
      </c>
      <c r="C45" s="21">
        <f>+C44</f>
        <v>340000</v>
      </c>
      <c r="D45" s="21">
        <f t="shared" ref="D45:U45" si="10">+D44+C45</f>
        <v>386410</v>
      </c>
      <c r="E45" s="21">
        <f t="shared" si="10"/>
        <v>525794</v>
      </c>
      <c r="F45" s="21">
        <f t="shared" si="10"/>
        <v>731676.6</v>
      </c>
      <c r="G45" s="21">
        <f t="shared" si="10"/>
        <v>1029599.5</v>
      </c>
      <c r="H45" s="21">
        <f t="shared" si="10"/>
        <v>1398066.5</v>
      </c>
      <c r="I45" s="21">
        <f t="shared" si="10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10"/>
        <v>4404791.0770754069</v>
      </c>
      <c r="O45" s="21">
        <f t="shared" si="10"/>
        <v>5278610.4023706764</v>
      </c>
      <c r="P45" s="21">
        <f>+P44+O45</f>
        <v>6336331.4272046564</v>
      </c>
      <c r="Q45" s="21">
        <f t="shared" si="10"/>
        <v>7483196.8371243486</v>
      </c>
      <c r="R45" s="21">
        <f t="shared" si="10"/>
        <v>8684228.892160967</v>
      </c>
      <c r="S45" s="21">
        <f t="shared" si="10"/>
        <v>9944916.5895023383</v>
      </c>
      <c r="T45" s="21">
        <f t="shared" si="10"/>
        <v>11239122.112921782</v>
      </c>
      <c r="U45" s="21">
        <f t="shared" si="10"/>
        <v>12614174.529140802</v>
      </c>
      <c r="V45" s="21">
        <f>+V44+U45</f>
        <v>12614174.529140802</v>
      </c>
      <c r="W45" s="21">
        <f>+W44+V45</f>
        <v>12614174.529140802</v>
      </c>
      <c r="X45" s="21">
        <f>+X44+W45</f>
        <v>12614174.529140802</v>
      </c>
      <c r="Y45" s="11"/>
      <c r="Z45" s="20"/>
    </row>
    <row r="46" spans="1:27" x14ac:dyDescent="0.2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">
      <c r="A47" s="4" t="s">
        <v>77</v>
      </c>
      <c r="C47" s="4">
        <f t="shared" ref="C47:U47" si="11">+C35+C44</f>
        <v>7140000</v>
      </c>
      <c r="D47" s="4">
        <f t="shared" si="11"/>
        <v>1296410</v>
      </c>
      <c r="E47" s="4">
        <f t="shared" si="11"/>
        <v>33024184</v>
      </c>
      <c r="F47" s="4">
        <f t="shared" si="11"/>
        <v>225882.6</v>
      </c>
      <c r="G47" s="4">
        <f t="shared" si="11"/>
        <v>1752232.9</v>
      </c>
      <c r="H47" s="4">
        <f t="shared" si="11"/>
        <v>18800373.5</v>
      </c>
      <c r="I47" s="4">
        <f t="shared" si="11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1"/>
        <v>17679921.627210379</v>
      </c>
      <c r="O47" s="4">
        <f t="shared" si="11"/>
        <v>39310183.408628598</v>
      </c>
      <c r="P47" s="4">
        <f t="shared" si="11"/>
        <v>33876927.191300653</v>
      </c>
      <c r="Q47" s="4">
        <f t="shared" si="11"/>
        <v>16546569.323986357</v>
      </c>
      <c r="R47" s="4">
        <f t="shared" si="11"/>
        <v>10054162.666703288</v>
      </c>
      <c r="S47" s="4">
        <f t="shared" si="11"/>
        <v>11073004.9908747</v>
      </c>
      <c r="T47" s="4">
        <f t="shared" si="11"/>
        <v>6221424.1789527787</v>
      </c>
      <c r="U47" s="4">
        <f t="shared" si="11"/>
        <v>15006427.101952353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255230883.10280746</v>
      </c>
    </row>
    <row r="48" spans="1:27" s="4" customFormat="1" x14ac:dyDescent="0.2">
      <c r="A48" s="4" t="s">
        <v>45</v>
      </c>
      <c r="C48" s="4">
        <f>C47</f>
        <v>7140000</v>
      </c>
      <c r="D48" s="4">
        <f t="shared" ref="D48:U48" si="12">C48+D47</f>
        <v>8436410</v>
      </c>
      <c r="E48" s="4">
        <f t="shared" si="12"/>
        <v>41460594</v>
      </c>
      <c r="F48" s="4">
        <f t="shared" si="12"/>
        <v>41686476.600000001</v>
      </c>
      <c r="G48" s="4">
        <f t="shared" si="12"/>
        <v>43438709.5</v>
      </c>
      <c r="H48" s="4">
        <f t="shared" si="12"/>
        <v>62239083</v>
      </c>
      <c r="I48" s="4">
        <f t="shared" si="12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2"/>
        <v>123142184.24040873</v>
      </c>
      <c r="O48" s="4">
        <f t="shared" si="12"/>
        <v>162452367.64903733</v>
      </c>
      <c r="P48" s="4">
        <f>O48+P47</f>
        <v>196329294.84033799</v>
      </c>
      <c r="Q48" s="4">
        <f t="shared" si="12"/>
        <v>212875864.16432434</v>
      </c>
      <c r="R48" s="4">
        <f t="shared" si="12"/>
        <v>222930026.83102763</v>
      </c>
      <c r="S48" s="4">
        <f t="shared" si="12"/>
        <v>234003031.82190233</v>
      </c>
      <c r="T48" s="4">
        <f t="shared" si="12"/>
        <v>240224456.00085512</v>
      </c>
      <c r="U48" s="4">
        <f t="shared" si="12"/>
        <v>255230883.10280746</v>
      </c>
      <c r="V48" s="4">
        <f>U48+V47</f>
        <v>255230883.10280746</v>
      </c>
      <c r="W48" s="4">
        <f>V48+W47</f>
        <v>255230883.10280746</v>
      </c>
      <c r="X48" s="4">
        <f>W48+X47</f>
        <v>255230883.10280746</v>
      </c>
      <c r="Y48" s="11"/>
    </row>
    <row r="49" spans="1:30" s="4" customFormat="1" x14ac:dyDescent="0.2">
      <c r="A49" s="17" t="s">
        <v>64</v>
      </c>
      <c r="Y49" s="16">
        <f>+Y47/C52/1000</f>
        <v>419.78763668224911</v>
      </c>
    </row>
    <row r="50" spans="1:30" s="4" customFormat="1" x14ac:dyDescent="0.2">
      <c r="A50" s="8" t="s">
        <v>96</v>
      </c>
      <c r="C50" s="12">
        <v>6.5000000000000002E-2</v>
      </c>
      <c r="Y50" s="11"/>
    </row>
    <row r="51" spans="1:30" s="4" customFormat="1" x14ac:dyDescent="0.2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">
      <c r="A52" s="8"/>
      <c r="C52" s="4">
        <v>608</v>
      </c>
      <c r="D52" s="4" t="s">
        <v>66</v>
      </c>
      <c r="Y52" s="11"/>
    </row>
    <row r="53" spans="1:30" x14ac:dyDescent="0.2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">
      <c r="A54" s="8"/>
      <c r="C54" s="12"/>
      <c r="Y54" s="11"/>
    </row>
    <row r="55" spans="1:30" x14ac:dyDescent="0.2">
      <c r="A55" s="17" t="s">
        <v>69</v>
      </c>
      <c r="C55" s="4">
        <f t="shared" ref="C55:X55" si="13">+C47-C40</f>
        <v>6800000</v>
      </c>
      <c r="D55" s="4">
        <f t="shared" si="13"/>
        <v>1250000</v>
      </c>
      <c r="E55" s="4">
        <f t="shared" si="13"/>
        <v>32884800</v>
      </c>
      <c r="F55" s="4">
        <f t="shared" si="13"/>
        <v>-1556.3999999999942</v>
      </c>
      <c r="G55" s="4">
        <f t="shared" si="13"/>
        <v>1520788.9</v>
      </c>
      <c r="H55" s="4">
        <f t="shared" si="13"/>
        <v>18381006.5</v>
      </c>
      <c r="I55" s="4">
        <f t="shared" si="13"/>
        <v>7659172.8499999996</v>
      </c>
      <c r="J55" s="4">
        <f t="shared" si="13"/>
        <v>8382273.5933333309</v>
      </c>
      <c r="K55" s="4">
        <f t="shared" si="13"/>
        <v>6523317.5533333328</v>
      </c>
      <c r="L55" s="4">
        <f t="shared" si="13"/>
        <v>7283602.8033333328</v>
      </c>
      <c r="M55" s="4">
        <f t="shared" si="13"/>
        <v>11032599.530000001</v>
      </c>
      <c r="N55" s="4">
        <f t="shared" si="13"/>
        <v>17016499.333333332</v>
      </c>
      <c r="O55" s="4">
        <f t="shared" si="13"/>
        <v>38436364.083333328</v>
      </c>
      <c r="P55" s="4">
        <f t="shared" si="13"/>
        <v>32819206.166466672</v>
      </c>
      <c r="Q55" s="4">
        <f t="shared" si="13"/>
        <v>15399703.914066665</v>
      </c>
      <c r="R55" s="4">
        <f t="shared" si="13"/>
        <v>8853130.6116666701</v>
      </c>
      <c r="S55" s="4">
        <f t="shared" si="13"/>
        <v>9812317.2935333289</v>
      </c>
      <c r="T55" s="4">
        <f t="shared" si="13"/>
        <v>4927218.6555333352</v>
      </c>
      <c r="U55" s="4">
        <f t="shared" si="13"/>
        <v>13631374.685733333</v>
      </c>
      <c r="V55" s="4">
        <f t="shared" si="13"/>
        <v>0</v>
      </c>
      <c r="W55" s="4">
        <f t="shared" si="13"/>
        <v>0</v>
      </c>
      <c r="X55" s="4">
        <f t="shared" si="13"/>
        <v>0</v>
      </c>
      <c r="Y55" s="11">
        <f>SUM(C55:X55)</f>
        <v>242611820.07366669</v>
      </c>
    </row>
    <row r="56" spans="1:30" ht="9.75" customHeight="1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">
      <c r="Y57" s="11"/>
    </row>
    <row r="58" spans="1:30" ht="20.25" x14ac:dyDescent="0.55000000000000004">
      <c r="A58" s="32" t="s">
        <v>81</v>
      </c>
      <c r="Y58" s="11"/>
      <c r="AB58" s="17" t="s">
        <v>112</v>
      </c>
    </row>
    <row r="59" spans="1:30" x14ac:dyDescent="0.2">
      <c r="A59" s="5" t="s">
        <v>43</v>
      </c>
      <c r="Y59" s="11"/>
      <c r="AB59" s="17" t="s">
        <v>113</v>
      </c>
    </row>
    <row r="60" spans="1:30" x14ac:dyDescent="0.2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[1]Wilton!$BR$178</f>
        <v>400000</v>
      </c>
      <c r="AC60" s="18">
        <f>AB60-AA60</f>
        <v>0.17000000004190952</v>
      </c>
      <c r="AD60" s="17"/>
    </row>
    <row r="61" spans="1:30" x14ac:dyDescent="0.2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852295.89999999991</v>
      </c>
      <c r="AB61" s="18">
        <f>[1]Wilton!$BR$201</f>
        <v>852295.78</v>
      </c>
      <c r="AC61" s="18">
        <f>AB61-AA61</f>
        <v>-0.11999999987892807</v>
      </c>
    </row>
    <row r="62" spans="1:30" x14ac:dyDescent="0.2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200000.25999999998</v>
      </c>
      <c r="AB62" s="18">
        <f>[1]Wilton!$BR$192</f>
        <v>200000</v>
      </c>
      <c r="AC62" s="18">
        <f>AB62-AA62</f>
        <v>-0.2599999999802094</v>
      </c>
    </row>
    <row r="63" spans="1:30" x14ac:dyDescent="0.2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508959.5</v>
      </c>
      <c r="AB63" s="18">
        <f>[1]Wilton!$BR$208</f>
        <v>508959.45999999996</v>
      </c>
      <c r="AC63" s="18">
        <f>AB63-AA63</f>
        <v>-4.0000000037252903E-2</v>
      </c>
    </row>
    <row r="64" spans="1:30" x14ac:dyDescent="0.2">
      <c r="A64" s="4" t="s">
        <v>78</v>
      </c>
      <c r="C64" s="21">
        <f>SUM(C60:C63)</f>
        <v>0</v>
      </c>
      <c r="D64" s="21">
        <f t="shared" ref="D64:U64" si="14">SUM(D60:D63)</f>
        <v>1236</v>
      </c>
      <c r="E64" s="21">
        <f t="shared" si="14"/>
        <v>79108</v>
      </c>
      <c r="F64" s="21">
        <f t="shared" si="14"/>
        <v>44820</v>
      </c>
      <c r="G64" s="21">
        <f t="shared" si="14"/>
        <v>36263</v>
      </c>
      <c r="H64" s="21">
        <f t="shared" si="14"/>
        <v>0</v>
      </c>
      <c r="I64" s="21">
        <f t="shared" si="14"/>
        <v>199867.23</v>
      </c>
      <c r="J64" s="21">
        <f t="shared" si="14"/>
        <v>62887.560000000005</v>
      </c>
      <c r="K64" s="21">
        <f t="shared" si="14"/>
        <v>2460</v>
      </c>
      <c r="L64" s="21">
        <f t="shared" si="14"/>
        <v>0</v>
      </c>
      <c r="M64" s="21">
        <f t="shared" si="14"/>
        <v>0</v>
      </c>
      <c r="N64" s="21">
        <f t="shared" si="14"/>
        <v>0</v>
      </c>
      <c r="O64" s="21">
        <f t="shared" si="14"/>
        <v>0</v>
      </c>
      <c r="P64" s="21">
        <f t="shared" si="14"/>
        <v>0</v>
      </c>
      <c r="Q64" s="21">
        <f t="shared" si="14"/>
        <v>0</v>
      </c>
      <c r="R64" s="21">
        <f t="shared" si="14"/>
        <v>0</v>
      </c>
      <c r="S64" s="21">
        <f t="shared" si="14"/>
        <v>0</v>
      </c>
      <c r="T64" s="21">
        <f t="shared" si="14"/>
        <v>0</v>
      </c>
      <c r="U64" s="21">
        <f t="shared" si="14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[1]Wilton!$AN$224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">
      <c r="A67" s="21" t="s">
        <v>98</v>
      </c>
      <c r="C67" s="21">
        <f>SUM(C64:C66)</f>
        <v>0</v>
      </c>
      <c r="D67" s="21">
        <f t="shared" ref="D67:Y67" si="15">SUM(D64:D66)</f>
        <v>1236</v>
      </c>
      <c r="E67" s="21">
        <f t="shared" si="15"/>
        <v>79108</v>
      </c>
      <c r="F67" s="21">
        <f t="shared" si="15"/>
        <v>44820</v>
      </c>
      <c r="G67" s="21">
        <f t="shared" si="15"/>
        <v>-20237</v>
      </c>
      <c r="H67" s="21">
        <f t="shared" si="15"/>
        <v>-34</v>
      </c>
      <c r="I67" s="21">
        <f t="shared" si="15"/>
        <v>129913.23000000001</v>
      </c>
      <c r="J67" s="21">
        <f t="shared" si="15"/>
        <v>40876.560000000005</v>
      </c>
      <c r="K67" s="21">
        <f t="shared" si="15"/>
        <v>1501</v>
      </c>
      <c r="L67" s="21">
        <f t="shared" si="15"/>
        <v>-3</v>
      </c>
      <c r="M67" s="21">
        <f t="shared" si="15"/>
        <v>52217</v>
      </c>
      <c r="N67" s="21">
        <f t="shared" si="15"/>
        <v>-52497</v>
      </c>
      <c r="O67" s="21">
        <f t="shared" si="15"/>
        <v>0</v>
      </c>
      <c r="P67" s="21">
        <f t="shared" si="15"/>
        <v>0</v>
      </c>
      <c r="Q67" s="21">
        <f t="shared" si="15"/>
        <v>0</v>
      </c>
      <c r="R67" s="21">
        <f t="shared" si="15"/>
        <v>0</v>
      </c>
      <c r="S67" s="21">
        <f t="shared" si="15"/>
        <v>0</v>
      </c>
      <c r="T67" s="21">
        <f t="shared" si="15"/>
        <v>0</v>
      </c>
      <c r="U67" s="21">
        <f t="shared" si="15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5"/>
        <v>276900.78999999998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73</v>
      </c>
      <c r="Y69" s="11"/>
    </row>
    <row r="70" spans="1:26" x14ac:dyDescent="0.2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">
      <c r="A73" s="17" t="s">
        <v>23</v>
      </c>
      <c r="C73" s="4">
        <v>87500</v>
      </c>
      <c r="Y73" s="11">
        <f>SUM(C73:U73)</f>
        <v>87500</v>
      </c>
    </row>
    <row r="74" spans="1:26" x14ac:dyDescent="0.2">
      <c r="A74" s="4" t="s">
        <v>79</v>
      </c>
      <c r="C74" s="21">
        <f t="shared" ref="C74:H74" si="16">SUM(C70:C73)</f>
        <v>139633</v>
      </c>
      <c r="D74" s="21">
        <f t="shared" si="16"/>
        <v>1343</v>
      </c>
      <c r="E74" s="21">
        <f t="shared" si="16"/>
        <v>48644.95</v>
      </c>
      <c r="F74" s="21">
        <f t="shared" si="16"/>
        <v>19328.689999999999</v>
      </c>
      <c r="G74" s="21">
        <f t="shared" si="16"/>
        <v>1899</v>
      </c>
      <c r="H74" s="21">
        <f t="shared" si="16"/>
        <v>81117.23</v>
      </c>
      <c r="I74" s="21">
        <f t="shared" ref="I74:U74" si="17">SUM(I70:I73)</f>
        <v>0</v>
      </c>
      <c r="J74" s="21">
        <f t="shared" si="17"/>
        <v>5725</v>
      </c>
      <c r="K74" s="21">
        <f t="shared" si="17"/>
        <v>0</v>
      </c>
      <c r="L74" s="21">
        <f t="shared" si="17"/>
        <v>591.45000000000005</v>
      </c>
      <c r="M74" s="21">
        <f t="shared" si="17"/>
        <v>0</v>
      </c>
      <c r="N74" s="21">
        <f t="shared" si="17"/>
        <v>0</v>
      </c>
      <c r="O74" s="21">
        <f t="shared" si="17"/>
        <v>1242.3</v>
      </c>
      <c r="P74" s="21">
        <f t="shared" si="17"/>
        <v>0</v>
      </c>
      <c r="Q74" s="21">
        <f t="shared" si="17"/>
        <v>0</v>
      </c>
      <c r="R74" s="21">
        <f t="shared" si="17"/>
        <v>0</v>
      </c>
      <c r="S74" s="21">
        <f t="shared" si="17"/>
        <v>0</v>
      </c>
      <c r="T74" s="21">
        <f t="shared" si="17"/>
        <v>0</v>
      </c>
      <c r="U74" s="21">
        <f t="shared" si="17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">
      <c r="Y75" s="11"/>
    </row>
    <row r="76" spans="1:26" x14ac:dyDescent="0.2">
      <c r="Y76" s="11"/>
    </row>
    <row r="77" spans="1:26" ht="13.5" thickBot="1" x14ac:dyDescent="0.25">
      <c r="A77" s="4" t="s">
        <v>87</v>
      </c>
      <c r="C77" s="33">
        <f t="shared" ref="C77:T77" si="18">+C47+C67+C74</f>
        <v>7279633</v>
      </c>
      <c r="D77" s="33">
        <f t="shared" si="18"/>
        <v>1298989</v>
      </c>
      <c r="E77" s="33">
        <f t="shared" si="18"/>
        <v>33151936.949999999</v>
      </c>
      <c r="F77" s="33">
        <f t="shared" si="18"/>
        <v>290031.28999999998</v>
      </c>
      <c r="G77" s="33">
        <f t="shared" si="18"/>
        <v>1733894.9</v>
      </c>
      <c r="H77" s="33">
        <f t="shared" si="18"/>
        <v>18881456.73</v>
      </c>
      <c r="I77" s="33">
        <f t="shared" si="18"/>
        <v>8167701.6325208331</v>
      </c>
      <c r="J77" s="33">
        <f t="shared" si="18"/>
        <v>8854945.5220608748</v>
      </c>
      <c r="K77" s="33">
        <f t="shared" si="18"/>
        <v>6988529.9287220389</v>
      </c>
      <c r="L77" s="33">
        <f t="shared" si="18"/>
        <v>7789830.939036103</v>
      </c>
      <c r="M77" s="33">
        <f t="shared" si="18"/>
        <v>11652992.830858508</v>
      </c>
      <c r="N77" s="33">
        <f t="shared" si="18"/>
        <v>17627424.627210379</v>
      </c>
      <c r="O77" s="33">
        <f t="shared" si="18"/>
        <v>39311425.708628595</v>
      </c>
      <c r="P77" s="33">
        <f t="shared" si="18"/>
        <v>33876927.191300653</v>
      </c>
      <c r="Q77" s="33">
        <f t="shared" si="18"/>
        <v>16546569.323986357</v>
      </c>
      <c r="R77" s="33">
        <f t="shared" si="18"/>
        <v>10054162.666703288</v>
      </c>
      <c r="S77" s="33">
        <f t="shared" si="18"/>
        <v>11073004.9908747</v>
      </c>
      <c r="T77" s="33">
        <f t="shared" si="18"/>
        <v>6221424.1789527787</v>
      </c>
      <c r="U77" s="33">
        <f>+U47+U67+U74</f>
        <v>15006427.101952353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255807308.51280746</v>
      </c>
    </row>
    <row r="78" spans="1:26" x14ac:dyDescent="0.2">
      <c r="U78"/>
      <c r="V78"/>
      <c r="W78"/>
      <c r="X78"/>
      <c r="Y78" s="48">
        <f>Y77-[1]Wilton!$BR$240</f>
        <v>0.15366664528846741</v>
      </c>
    </row>
    <row r="79" spans="1:26" x14ac:dyDescent="0.2">
      <c r="U79"/>
      <c r="V79"/>
      <c r="W79"/>
      <c r="X79"/>
      <c r="Y79"/>
    </row>
    <row r="80" spans="1:26" x14ac:dyDescent="0.2">
      <c r="U80"/>
      <c r="V80"/>
      <c r="W80"/>
      <c r="X80"/>
      <c r="Y80"/>
    </row>
  </sheetData>
  <printOptions horizontalCentered="1"/>
  <pageMargins left="0.25" right="0.25" top="0.5" bottom="0.5" header="0.25" footer="0.5"/>
  <pageSetup scale="39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workbookViewId="0">
      <pane xSplit="2" ySplit="6" topLeftCell="J32" activePane="bottomRight" state="frozen"/>
      <selection activeCell="E1" sqref="E1"/>
      <selection pane="topRight" activeCell="E1" sqref="E1"/>
      <selection pane="bottomLeft" activeCell="E1" sqref="E1"/>
      <selection pane="bottomRight" activeCell="P33" sqref="P33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customWidth="1"/>
    <col min="12" max="12" width="12.28515625" style="18" bestFit="1" customWidth="1"/>
    <col min="13" max="13" width="12.28515625" style="52" bestFit="1" customWidth="1"/>
    <col min="14" max="21" width="12.28515625" style="18" bestFit="1" customWidth="1"/>
    <col min="22" max="25" width="12.140625" style="18" customWidth="1"/>
    <col min="26" max="26" width="13.5703125" style="4" customWidth="1"/>
    <col min="27" max="27" width="20" style="18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51"/>
    </row>
    <row r="2" spans="1:29" s="2" customFormat="1" ht="15.75" x14ac:dyDescent="0.25">
      <c r="A2" s="1" t="s">
        <v>1</v>
      </c>
      <c r="D2" s="1" t="str">
        <f>Wilton!D2</f>
        <v>Last updated:  Actuals through December 24, 1999</v>
      </c>
      <c r="M2" s="51"/>
      <c r="Z2" s="25" t="str">
        <f ca="1">CELL("filename")</f>
        <v>O:\Fin_Ops\Engysvc\PowerPlants\2000 Plants\Draw Schedule\[Draw Sched - 011100.xls]Wilton</v>
      </c>
    </row>
    <row r="3" spans="1:29" s="2" customFormat="1" ht="15.75" x14ac:dyDescent="0.25">
      <c r="A3" s="1" t="s">
        <v>2</v>
      </c>
      <c r="D3" s="26"/>
      <c r="F3" s="3"/>
      <c r="M3" s="51"/>
      <c r="Z3" s="24">
        <f ca="1">NOW()</f>
        <v>36536.318263425928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116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1160414</v>
      </c>
      <c r="R10" s="18">
        <v>0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</f>
        <v>3066105</v>
      </c>
      <c r="Z11" s="11">
        <f t="shared" ref="Z11:Z33" si="0">SUM(C11:Y11)</f>
        <v>34480361</v>
      </c>
      <c r="AA11" s="15" t="s">
        <v>50</v>
      </c>
      <c r="AB11" s="18">
        <f>[1]Gleason!$BT$16</f>
        <v>95323101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v>1765743.3</v>
      </c>
      <c r="R12" s="18">
        <v>645575.4</v>
      </c>
      <c r="S12" s="18">
        <f>531586.8-58500</f>
        <v>473086.80000000005</v>
      </c>
      <c r="T12" s="18">
        <v>0</v>
      </c>
      <c r="Z12" s="11">
        <f t="shared" si="0"/>
        <v>5893810.7999999998</v>
      </c>
      <c r="AA12" s="15" t="s">
        <v>50</v>
      </c>
      <c r="AB12" s="18">
        <f>[1]Gleason!$BT$35</f>
        <v>5893811</v>
      </c>
      <c r="AC12" s="18">
        <f t="shared" ref="AC12:AC24" si="1">Z12-AB12</f>
        <v>-0.20000000018626451</v>
      </c>
    </row>
    <row r="13" spans="1:29" x14ac:dyDescent="0.2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[1]Gleason!$BT$131</f>
        <v>929800</v>
      </c>
      <c r="AC13" s="18">
        <f t="shared" si="1"/>
        <v>0</v>
      </c>
    </row>
    <row r="14" spans="1:29" x14ac:dyDescent="0.2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f t="shared" si="3"/>
        <v>236725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2840700/12+6+3</f>
        <v>236734</v>
      </c>
      <c r="Z14" s="11">
        <f t="shared" si="0"/>
        <v>2840700</v>
      </c>
      <c r="AA14" s="15" t="s">
        <v>50</v>
      </c>
      <c r="AB14" s="18">
        <f>[1]Gleason!$BT$132</f>
        <v>2840700</v>
      </c>
      <c r="AC14" s="18">
        <f t="shared" si="1"/>
        <v>0</v>
      </c>
    </row>
    <row r="15" spans="1:29" x14ac:dyDescent="0.2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[1]Gleason!$BT$133</f>
        <v>3066700</v>
      </c>
      <c r="AC15" s="18">
        <f t="shared" si="1"/>
        <v>0</v>
      </c>
    </row>
    <row r="16" spans="1:29" x14ac:dyDescent="0.2">
      <c r="A16" s="17" t="s">
        <v>119</v>
      </c>
      <c r="O16" s="18">
        <v>420818</v>
      </c>
      <c r="Q16" s="18">
        <f>(0.2939-0.145)*AB16</f>
        <v>2226146.4246</v>
      </c>
      <c r="R16" s="18">
        <f>(0.4765-0.2939)*AB16</f>
        <v>2729982.1163999997</v>
      </c>
      <c r="S16" s="18">
        <f>(0.6457-0.4765)*AB16</f>
        <v>2529643.8888000012</v>
      </c>
      <c r="T16" s="18">
        <f>(0.7795-0.6457)*AB16</f>
        <v>2000392.1531999989</v>
      </c>
      <c r="U16" s="18">
        <f>(0.8617-0.7795)*AB16</f>
        <v>1228940.4708000007</v>
      </c>
      <c r="V16" s="18">
        <f>(0.9293-0.8617)*AB16</f>
        <v>1010661.5064</v>
      </c>
      <c r="W16" s="18">
        <f>(1-0.9293)*AB16</f>
        <v>1057008.4097999998</v>
      </c>
      <c r="Z16" s="11">
        <f t="shared" si="0"/>
        <v>13203592.970000001</v>
      </c>
      <c r="AA16" s="15"/>
      <c r="AB16" s="18">
        <f>[1]Gleason!$BT$59</f>
        <v>14950614</v>
      </c>
      <c r="AC16" s="18">
        <f t="shared" si="1"/>
        <v>-1747021.0299999993</v>
      </c>
    </row>
    <row r="17" spans="1:29" x14ac:dyDescent="0.2">
      <c r="A17" s="17" t="s">
        <v>120</v>
      </c>
      <c r="O17" s="18">
        <v>84021</v>
      </c>
      <c r="Q17" s="18">
        <f>(0.2939-0.145)*AB17</f>
        <v>768904.56110000005</v>
      </c>
      <c r="R17" s="18">
        <f>(0.4765-0.2939)*AB17</f>
        <v>942927.95739999996</v>
      </c>
      <c r="S17" s="18">
        <f>(0.6457-0.4765)*AB17</f>
        <v>873731.71080000035</v>
      </c>
      <c r="T17" s="18">
        <f>(0.7795-0.6457)*AB17</f>
        <v>690929.68619999953</v>
      </c>
      <c r="U17" s="18">
        <f>(0.8617-0.7795)*AB17</f>
        <v>424472.49780000024</v>
      </c>
      <c r="V17" s="18">
        <f>(0.9293-0.8617)*AB17</f>
        <v>349079.57239999995</v>
      </c>
      <c r="W17" s="18">
        <f>(1-0.9293)*AB17</f>
        <v>365087.65929999994</v>
      </c>
      <c r="Z17" s="11">
        <f t="shared" si="0"/>
        <v>4499154.6449999996</v>
      </c>
      <c r="AA17" s="15"/>
      <c r="AB17" s="18">
        <f>[1]Gleason!$BT$87</f>
        <v>5163899</v>
      </c>
      <c r="AC17" s="18">
        <f t="shared" si="1"/>
        <v>-664744.35500000045</v>
      </c>
    </row>
    <row r="18" spans="1:29" x14ac:dyDescent="0.2">
      <c r="A18" s="17" t="s">
        <v>121</v>
      </c>
      <c r="O18" s="18">
        <v>204588</v>
      </c>
      <c r="Q18" s="18">
        <f>(0.2939-0.145)*AB18</f>
        <v>1845896.4743000001</v>
      </c>
      <c r="R18" s="18">
        <f>(0.4765-0.2939)*AB18</f>
        <v>2263671.5661999998</v>
      </c>
      <c r="S18" s="18">
        <f>(0.6457-0.4765)*AB18</f>
        <v>2097553.280400001</v>
      </c>
      <c r="T18" s="18">
        <f>(0.7795-0.6457)*AB18</f>
        <v>1658703.480599999</v>
      </c>
      <c r="U18" s="18">
        <f>(0.8617-0.7795)*AB18</f>
        <v>1019024.1114000006</v>
      </c>
      <c r="V18" s="18">
        <f>(0.9293-0.8617)*AB18</f>
        <v>838029.56119999988</v>
      </c>
      <c r="W18" s="18">
        <f>(1-0.9293)*AB18</f>
        <v>876459.91089999978</v>
      </c>
      <c r="Z18" s="11">
        <f t="shared" si="0"/>
        <v>10803926.385000002</v>
      </c>
      <c r="AA18" s="15"/>
      <c r="AB18" s="18">
        <f>[1]Gleason!$BT$119</f>
        <v>12396887</v>
      </c>
      <c r="AC18" s="18">
        <f t="shared" si="1"/>
        <v>-1592960.6149999984</v>
      </c>
    </row>
    <row r="19" spans="1:29" x14ac:dyDescent="0.2">
      <c r="A19" s="17" t="s">
        <v>122</v>
      </c>
      <c r="N19" s="18">
        <v>0</v>
      </c>
      <c r="O19" s="18">
        <v>0</v>
      </c>
      <c r="Q19" s="18">
        <f>(0.2939-0.145)*AB19</f>
        <v>1795689.33</v>
      </c>
      <c r="R19" s="18">
        <f>(0.4765-0.2939)*AB19</f>
        <v>2202101.2199999997</v>
      </c>
      <c r="S19" s="18">
        <f>(0.6457-0.4765)*AB19</f>
        <v>2040501.2400000009</v>
      </c>
      <c r="T19" s="18">
        <f>(0.7795-0.6457)*AB19</f>
        <v>1613587.8599999989</v>
      </c>
      <c r="U19" s="18">
        <f>(0.8617-0.7795)*AB19</f>
        <v>991307.34000000067</v>
      </c>
      <c r="V19" s="18">
        <f>(0.9293-0.8617)*AB19</f>
        <v>815235.72</v>
      </c>
      <c r="W19" s="18">
        <f>(1-0.9293)*AB19</f>
        <v>852620.7899999998</v>
      </c>
      <c r="Z19" s="11">
        <f t="shared" si="0"/>
        <v>10311043.5</v>
      </c>
      <c r="AA19" s="15" t="s">
        <v>50</v>
      </c>
      <c r="AB19" s="18">
        <f>[1]Gleason!$BT$124</f>
        <v>12059700</v>
      </c>
      <c r="AC19" s="18">
        <f t="shared" si="1"/>
        <v>-1748656.5</v>
      </c>
    </row>
    <row r="20" spans="1:29" x14ac:dyDescent="0.2">
      <c r="A20" s="17" t="s">
        <v>123</v>
      </c>
      <c r="V20" s="18">
        <v>0</v>
      </c>
      <c r="W20" s="18">
        <v>675000</v>
      </c>
      <c r="Z20" s="11">
        <f t="shared" si="0"/>
        <v>675000</v>
      </c>
      <c r="AA20" s="15" t="s">
        <v>50</v>
      </c>
      <c r="AB20" s="18">
        <f>[1]Gleason!$BT$171</f>
        <v>675000</v>
      </c>
      <c r="AC20" s="18">
        <f t="shared" si="1"/>
        <v>0</v>
      </c>
    </row>
    <row r="21" spans="1:29" ht="13.5" customHeight="1" x14ac:dyDescent="0.2">
      <c r="A21" s="17" t="s">
        <v>124</v>
      </c>
      <c r="O21" s="18">
        <v>5344605</v>
      </c>
      <c r="Q21" s="18">
        <v>408777</v>
      </c>
      <c r="Z21" s="11">
        <f t="shared" si="0"/>
        <v>5753382</v>
      </c>
      <c r="AA21" s="15" t="s">
        <v>50</v>
      </c>
      <c r="AB21" s="18">
        <v>0</v>
      </c>
      <c r="AC21" s="18">
        <f t="shared" si="1"/>
        <v>5753382</v>
      </c>
    </row>
    <row r="22" spans="1:29" x14ac:dyDescent="0.2">
      <c r="A22" s="17" t="s">
        <v>42</v>
      </c>
      <c r="Q22" s="18">
        <v>150000</v>
      </c>
      <c r="R22" s="18">
        <v>150000</v>
      </c>
      <c r="S22" s="18">
        <v>150000</v>
      </c>
      <c r="T22" s="18">
        <v>150000</v>
      </c>
      <c r="U22" s="18">
        <v>150000</v>
      </c>
      <c r="V22" s="18">
        <f>908786-750000</f>
        <v>158786</v>
      </c>
      <c r="Z22" s="11">
        <f t="shared" si="0"/>
        <v>908786</v>
      </c>
      <c r="AA22" s="15" t="s">
        <v>51</v>
      </c>
      <c r="AB22" s="18">
        <f>[1]Gleason!$BT$165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[1]Gleason!$BT$173</f>
        <v>1247007</v>
      </c>
      <c r="AC23" s="18">
        <f t="shared" si="1"/>
        <v>0</v>
      </c>
    </row>
    <row r="24" spans="1:29" x14ac:dyDescent="0.2">
      <c r="A24" s="17" t="s">
        <v>23</v>
      </c>
      <c r="E24" s="17"/>
      <c r="F24" s="17"/>
      <c r="I24" s="17"/>
      <c r="J24" s="17"/>
      <c r="K24" s="17"/>
      <c r="L24" s="17">
        <v>369041</v>
      </c>
      <c r="N24" s="18">
        <v>0</v>
      </c>
      <c r="Z24" s="11">
        <f t="shared" si="0"/>
        <v>369041</v>
      </c>
      <c r="AA24" s="15" t="s">
        <v>55</v>
      </c>
      <c r="AB24" s="18">
        <f>[1]Gleason!$BT$180</f>
        <v>369041</v>
      </c>
      <c r="AC24" s="18">
        <f t="shared" si="1"/>
        <v>0</v>
      </c>
    </row>
    <row r="25" spans="1:29" x14ac:dyDescent="0.2">
      <c r="A25" s="17" t="s">
        <v>24</v>
      </c>
      <c r="F25" s="27"/>
      <c r="I25" s="17"/>
      <c r="J25" s="17"/>
      <c r="K25" s="17"/>
      <c r="L25" s="17">
        <v>69419</v>
      </c>
      <c r="M25" s="53">
        <v>190571</v>
      </c>
      <c r="N25" s="18">
        <v>0</v>
      </c>
      <c r="O25" s="18">
        <v>264856</v>
      </c>
      <c r="P25" s="18">
        <v>0</v>
      </c>
      <c r="R25" s="18">
        <v>15154</v>
      </c>
      <c r="Z25" s="11">
        <f t="shared" si="0"/>
        <v>540000</v>
      </c>
      <c r="AA25" s="15" t="str">
        <f>AA24</f>
        <v>Ben Jacoby</v>
      </c>
    </row>
    <row r="26" spans="1:29" x14ac:dyDescent="0.2">
      <c r="A26" s="17" t="s">
        <v>25</v>
      </c>
      <c r="F26" s="29"/>
      <c r="Q26" s="18">
        <v>125000</v>
      </c>
      <c r="R26" s="18">
        <v>125000</v>
      </c>
      <c r="S26" s="18">
        <v>125000</v>
      </c>
      <c r="T26" s="18">
        <v>350000</v>
      </c>
      <c r="U26" s="18">
        <v>375000</v>
      </c>
      <c r="Z26" s="11">
        <f t="shared" si="0"/>
        <v>1100000</v>
      </c>
      <c r="AA26" s="15" t="s">
        <v>53</v>
      </c>
      <c r="AB26" s="18">
        <f>[1]Gleason!$BT$199</f>
        <v>1100000</v>
      </c>
      <c r="AC26" s="18">
        <f>Z26-AB26</f>
        <v>0</v>
      </c>
    </row>
    <row r="27" spans="1:29" x14ac:dyDescent="0.2">
      <c r="A27" s="17" t="s">
        <v>111</v>
      </c>
      <c r="F27" s="29"/>
      <c r="N27" s="18">
        <v>18018</v>
      </c>
      <c r="P27" s="18">
        <v>7500</v>
      </c>
      <c r="R27" s="18">
        <v>25518</v>
      </c>
      <c r="T27" s="18">
        <v>1500000</v>
      </c>
      <c r="V27" s="18">
        <v>2148964</v>
      </c>
      <c r="Z27" s="11">
        <f t="shared" si="0"/>
        <v>3700000</v>
      </c>
      <c r="AA27" s="15"/>
      <c r="AB27" s="18">
        <f>[1]Gleason!$BT$197</f>
        <v>3700000</v>
      </c>
      <c r="AC27" s="18">
        <f>Z27-AB27</f>
        <v>0</v>
      </c>
    </row>
    <row r="28" spans="1:29" x14ac:dyDescent="0.2">
      <c r="A28" s="17" t="s">
        <v>27</v>
      </c>
      <c r="F28" s="29"/>
      <c r="T28" s="18">
        <v>0</v>
      </c>
      <c r="U28" s="18">
        <v>250000</v>
      </c>
      <c r="V28" s="18">
        <v>250000</v>
      </c>
      <c r="Z28" s="11">
        <f t="shared" si="0"/>
        <v>500000</v>
      </c>
      <c r="AA28" s="15" t="str">
        <f>AA22</f>
        <v>Kevin Presto</v>
      </c>
      <c r="AB28" s="18">
        <f>[1]Gleason!$BT$205</f>
        <v>500000</v>
      </c>
      <c r="AC28" s="18">
        <f>Z28-AB28</f>
        <v>0</v>
      </c>
    </row>
    <row r="29" spans="1:29" x14ac:dyDescent="0.2">
      <c r="A29" s="17" t="s">
        <v>47</v>
      </c>
      <c r="F29" s="29"/>
      <c r="V29" s="18">
        <v>0</v>
      </c>
      <c r="Z29" s="11">
        <f t="shared" si="0"/>
        <v>0</v>
      </c>
      <c r="AA29" s="15" t="s">
        <v>56</v>
      </c>
      <c r="AB29" s="18">
        <v>0</v>
      </c>
      <c r="AC29" s="18">
        <f>Z29-AB29</f>
        <v>0</v>
      </c>
    </row>
    <row r="30" spans="1:29" x14ac:dyDescent="0.2">
      <c r="A30" s="17" t="s">
        <v>29</v>
      </c>
      <c r="F30" s="29"/>
      <c r="N30" s="18">
        <v>0</v>
      </c>
      <c r="O30" s="18">
        <v>0</v>
      </c>
      <c r="P30" s="18">
        <v>200935</v>
      </c>
      <c r="Z30" s="11">
        <f t="shared" si="0"/>
        <v>200935</v>
      </c>
      <c r="AA30" s="15"/>
      <c r="AB30" s="18">
        <f>[1]Gleason!$BT$207</f>
        <v>200935.25</v>
      </c>
      <c r="AC30" s="18">
        <f>Z30-AB30</f>
        <v>-0.25</v>
      </c>
    </row>
    <row r="31" spans="1:29" x14ac:dyDescent="0.2">
      <c r="A31" s="17" t="s">
        <v>30</v>
      </c>
      <c r="F31" s="8"/>
      <c r="G31" s="8"/>
      <c r="H31" s="8"/>
      <c r="I31" s="8"/>
      <c r="J31" s="8"/>
      <c r="K31" s="8"/>
      <c r="L31" s="8">
        <v>55021.05</v>
      </c>
      <c r="M31" s="52">
        <v>0</v>
      </c>
      <c r="N31" s="18">
        <v>0</v>
      </c>
      <c r="O31" s="18">
        <v>0</v>
      </c>
      <c r="P31" s="18">
        <v>0</v>
      </c>
      <c r="Q31" s="18">
        <f>11111.1111111111+11173</f>
        <v>22284.111111111102</v>
      </c>
      <c r="R31" s="18">
        <f>11111.1111111111+12759</f>
        <v>23870.111111111102</v>
      </c>
      <c r="S31" s="18">
        <v>11111.111111111111</v>
      </c>
      <c r="T31" s="18">
        <v>11111.111111111111</v>
      </c>
      <c r="U31" s="18">
        <v>31111</v>
      </c>
      <c r="V31" s="17">
        <v>32312</v>
      </c>
      <c r="W31" s="17"/>
      <c r="X31" s="17"/>
      <c r="Y31" s="17"/>
      <c r="Z31" s="11">
        <f t="shared" si="0"/>
        <v>186820.49444444443</v>
      </c>
      <c r="AA31" s="15"/>
    </row>
    <row r="32" spans="1:29" x14ac:dyDescent="0.2">
      <c r="A32" s="17" t="s">
        <v>32</v>
      </c>
      <c r="F32" s="29"/>
      <c r="L32" s="18">
        <v>137763</v>
      </c>
      <c r="M32" s="52">
        <v>2411</v>
      </c>
      <c r="N32" s="18">
        <v>18874</v>
      </c>
      <c r="O32" s="18">
        <f>113219</f>
        <v>113219</v>
      </c>
      <c r="P32" s="17">
        <f>[1]Gleason!$AT$218</f>
        <v>153337.04</v>
      </c>
      <c r="Q32" s="18">
        <v>144633</v>
      </c>
      <c r="R32" s="18">
        <v>10010</v>
      </c>
      <c r="S32" s="18">
        <f>30286.69-14452</f>
        <v>15834.689999999999</v>
      </c>
      <c r="T32" s="18">
        <f>13074-3457+1916</f>
        <v>11533</v>
      </c>
      <c r="U32" s="18">
        <v>9698</v>
      </c>
      <c r="V32" s="18">
        <v>0</v>
      </c>
      <c r="Z32" s="11">
        <f t="shared" si="0"/>
        <v>617312.73</v>
      </c>
      <c r="AA32" s="15"/>
    </row>
    <row r="33" spans="1:27" x14ac:dyDescent="0.2">
      <c r="A33" s="17" t="s">
        <v>33</v>
      </c>
      <c r="H33" s="17"/>
      <c r="L33" s="18">
        <v>14302</v>
      </c>
      <c r="M33" s="52">
        <v>13886</v>
      </c>
      <c r="N33" s="18">
        <v>27415</v>
      </c>
      <c r="O33" s="18">
        <v>13908</v>
      </c>
      <c r="P33" s="18">
        <f>[1]Gleason!$AT$224</f>
        <v>259842.83000000002</v>
      </c>
      <c r="Q33" s="18">
        <f>68298</f>
        <v>68298</v>
      </c>
      <c r="R33" s="17">
        <f>18820-11693</f>
        <v>7127</v>
      </c>
      <c r="S33" s="18">
        <v>132585</v>
      </c>
      <c r="T33" s="18">
        <v>96092</v>
      </c>
      <c r="U33" s="18">
        <v>121058</v>
      </c>
      <c r="V33" s="18">
        <v>0</v>
      </c>
      <c r="Z33" s="11">
        <f t="shared" si="0"/>
        <v>754513.83000000007</v>
      </c>
      <c r="AA33" s="15"/>
    </row>
    <row r="34" spans="1:27" x14ac:dyDescent="0.2">
      <c r="A34" s="17" t="s">
        <v>63</v>
      </c>
      <c r="C34" s="21">
        <f t="shared" ref="C34:J34" si="4">SUM(C9:C33)</f>
        <v>0</v>
      </c>
      <c r="D34" s="21">
        <f t="shared" si="4"/>
        <v>0</v>
      </c>
      <c r="E34" s="21">
        <f t="shared" si="4"/>
        <v>0</v>
      </c>
      <c r="F34" s="21">
        <f t="shared" si="4"/>
        <v>0</v>
      </c>
      <c r="G34" s="21">
        <f t="shared" si="4"/>
        <v>0</v>
      </c>
      <c r="H34" s="21">
        <f t="shared" si="4"/>
        <v>0</v>
      </c>
      <c r="I34" s="21">
        <f t="shared" si="4"/>
        <v>0</v>
      </c>
      <c r="J34" s="21">
        <f t="shared" si="4"/>
        <v>0</v>
      </c>
      <c r="K34" s="21">
        <f t="shared" ref="K34:U34" si="5">SUM(K10:K33)</f>
        <v>0</v>
      </c>
      <c r="L34" s="21">
        <f t="shared" si="5"/>
        <v>88847709.049999997</v>
      </c>
      <c r="M34" s="21">
        <f t="shared" si="5"/>
        <v>206868</v>
      </c>
      <c r="N34" s="21">
        <f t="shared" si="5"/>
        <v>1660822.3333333333</v>
      </c>
      <c r="O34" s="21">
        <f t="shared" si="5"/>
        <v>6962875.333333333</v>
      </c>
      <c r="P34" s="21">
        <f t="shared" si="5"/>
        <v>2709566.5033333334</v>
      </c>
      <c r="Q34" s="21">
        <f t="shared" si="5"/>
        <v>10795994.534444444</v>
      </c>
      <c r="R34" s="21">
        <f t="shared" si="5"/>
        <v>9455145.7044444457</v>
      </c>
      <c r="S34" s="21">
        <f t="shared" si="5"/>
        <v>8763256.054444449</v>
      </c>
      <c r="T34" s="21">
        <f t="shared" si="5"/>
        <v>9039347.6244444419</v>
      </c>
      <c r="U34" s="21">
        <f t="shared" si="5"/>
        <v>7060546.7533333357</v>
      </c>
      <c r="V34" s="21">
        <f>SUM(V10:V33)</f>
        <v>14096318.693333333</v>
      </c>
      <c r="W34" s="21">
        <f>SUM(W10:W33)</f>
        <v>3826176.7699999996</v>
      </c>
      <c r="X34" s="21">
        <f>SUM(X10:X33)</f>
        <v>0</v>
      </c>
      <c r="Y34" s="21">
        <f>SUM(Y10:Y33)</f>
        <v>0</v>
      </c>
      <c r="Z34" s="22">
        <f>SUM(C34:Y34)</f>
        <v>163424627.35444441</v>
      </c>
    </row>
    <row r="35" spans="1:27" x14ac:dyDescent="0.2">
      <c r="A35" s="17" t="s">
        <v>67</v>
      </c>
      <c r="C35" s="21">
        <f>+C34</f>
        <v>0</v>
      </c>
      <c r="D35" s="21">
        <f t="shared" ref="D35:K35" si="6">+D34</f>
        <v>0</v>
      </c>
      <c r="E35" s="21">
        <f t="shared" si="6"/>
        <v>0</v>
      </c>
      <c r="F35" s="21">
        <f t="shared" si="6"/>
        <v>0</v>
      </c>
      <c r="G35" s="21">
        <f t="shared" si="6"/>
        <v>0</v>
      </c>
      <c r="H35" s="21">
        <f t="shared" si="6"/>
        <v>0</v>
      </c>
      <c r="I35" s="21">
        <f t="shared" si="6"/>
        <v>0</v>
      </c>
      <c r="J35" s="21">
        <f t="shared" si="6"/>
        <v>0</v>
      </c>
      <c r="K35" s="21">
        <f t="shared" si="6"/>
        <v>0</v>
      </c>
      <c r="L35" s="21">
        <f t="shared" ref="L35:V35" si="7">+K35+L34</f>
        <v>88847709.049999997</v>
      </c>
      <c r="M35" s="21">
        <f t="shared" si="7"/>
        <v>89054577.049999997</v>
      </c>
      <c r="N35" s="21">
        <f t="shared" si="7"/>
        <v>90715399.383333325</v>
      </c>
      <c r="O35" s="21">
        <f t="shared" si="7"/>
        <v>97678274.716666654</v>
      </c>
      <c r="P35" s="21">
        <f t="shared" si="7"/>
        <v>100387841.21999998</v>
      </c>
      <c r="Q35" s="21">
        <f>+P35+Q34</f>
        <v>111183835.75444442</v>
      </c>
      <c r="R35" s="21">
        <f t="shared" si="7"/>
        <v>120638981.45888886</v>
      </c>
      <c r="S35" s="21">
        <f t="shared" si="7"/>
        <v>129402237.51333331</v>
      </c>
      <c r="T35" s="21">
        <f t="shared" si="7"/>
        <v>138441585.13777775</v>
      </c>
      <c r="U35" s="21">
        <f t="shared" si="7"/>
        <v>145502131.89111108</v>
      </c>
      <c r="V35" s="21">
        <f t="shared" si="7"/>
        <v>159598450.5844444</v>
      </c>
      <c r="W35" s="21">
        <f>+V35+W34</f>
        <v>163424627.35444441</v>
      </c>
      <c r="X35" s="21">
        <f>+W35+X34</f>
        <v>163424627.35444441</v>
      </c>
      <c r="Y35" s="21">
        <f>+X35+Y34</f>
        <v>163424627.35444441</v>
      </c>
      <c r="Z35" s="11"/>
    </row>
    <row r="36" spans="1:27" x14ac:dyDescent="0.2">
      <c r="A36" s="17" t="s">
        <v>64</v>
      </c>
      <c r="D36" s="4"/>
      <c r="E36" s="4"/>
      <c r="F36" s="4"/>
      <c r="G36" s="4"/>
      <c r="H36" s="4"/>
      <c r="I36" s="4"/>
      <c r="J36" s="4"/>
      <c r="K36" s="4"/>
      <c r="L36" s="4"/>
      <c r="Z36" s="16">
        <f>+Z34/C53/1000</f>
        <v>320.44044579302829</v>
      </c>
      <c r="AA36" s="20"/>
    </row>
    <row r="37" spans="1:27" x14ac:dyDescent="0.2">
      <c r="A37" s="17"/>
      <c r="D37" s="4"/>
      <c r="E37" s="4"/>
      <c r="F37" s="4"/>
      <c r="G37" s="4"/>
      <c r="H37" s="4"/>
      <c r="I37" s="4"/>
      <c r="J37" s="4"/>
      <c r="K37" s="4"/>
      <c r="L37" s="4"/>
      <c r="Z37" s="16"/>
      <c r="AA37" s="20"/>
    </row>
    <row r="38" spans="1:27" x14ac:dyDescent="0.2">
      <c r="A38" s="17" t="s">
        <v>94</v>
      </c>
      <c r="D38" s="4"/>
      <c r="E38" s="4"/>
      <c r="F38" s="4"/>
      <c r="G38" s="4"/>
      <c r="H38" s="4"/>
      <c r="I38" s="4"/>
      <c r="J38" s="4"/>
      <c r="K38" s="4"/>
      <c r="L38" s="4"/>
      <c r="M38" s="52">
        <v>-6077</v>
      </c>
      <c r="Z38" s="11">
        <f>SUM(C38:Y38)</f>
        <v>-6077</v>
      </c>
      <c r="AA38" s="19" t="s">
        <v>54</v>
      </c>
    </row>
    <row r="39" spans="1:27" x14ac:dyDescent="0.2">
      <c r="A39" s="17" t="s">
        <v>44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f>4326863</f>
        <v>4326863</v>
      </c>
      <c r="M39" s="30">
        <v>505668.93</v>
      </c>
      <c r="N39" s="30">
        <v>517447.92267638887</v>
      </c>
      <c r="O39" s="30">
        <v>557933.42322977481</v>
      </c>
      <c r="P39" s="30">
        <v>574337.94527365838</v>
      </c>
      <c r="Q39" s="30">
        <f>(Q35+P44)*$C51/12</f>
        <v>637325.05403463135</v>
      </c>
      <c r="R39" s="30">
        <f>(R35+Q44)*$C51/12</f>
        <v>691992.603976393</v>
      </c>
      <c r="S39" s="30">
        <f>(S35+R44)*$C51/12</f>
        <v>743208.53420950577</v>
      </c>
      <c r="T39" s="30">
        <f>(T35+S44)*$C51/12</f>
        <v>796197.38006888144</v>
      </c>
      <c r="U39" s="30">
        <f>(U35+T44)*$C51/12</f>
        <v>838754.74412480986</v>
      </c>
      <c r="V39" s="30">
        <f>(V35+U44)*$C51/12-5719</f>
        <v>913934.05857770832</v>
      </c>
      <c r="W39" s="30"/>
      <c r="X39" s="30"/>
      <c r="Y39" s="30"/>
      <c r="Z39" s="11">
        <f>SUM(C39:Y39)</f>
        <v>11103663.596171752</v>
      </c>
      <c r="AA39" s="19" t="str">
        <f>AA54</f>
        <v>Rodney Malcolm</v>
      </c>
    </row>
    <row r="40" spans="1:27" x14ac:dyDescent="0.2">
      <c r="A40" s="17" t="s">
        <v>88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55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/>
      <c r="X40" s="30"/>
      <c r="Y40" s="30"/>
      <c r="Z40" s="11">
        <f>SUM(C40:Y40)</f>
        <v>0</v>
      </c>
      <c r="AA40" s="19" t="str">
        <f>AA39</f>
        <v>Rodney Malcolm</v>
      </c>
    </row>
    <row r="41" spans="1:27" x14ac:dyDescent="0.2">
      <c r="A41" s="17" t="s">
        <v>31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Z41" s="11">
        <f>SUM(C41:Y41)</f>
        <v>0</v>
      </c>
      <c r="AA41" s="19" t="s">
        <v>54</v>
      </c>
    </row>
    <row r="42" spans="1:27" x14ac:dyDescent="0.2">
      <c r="A42" s="17" t="s">
        <v>86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56"/>
      <c r="N42" s="20"/>
      <c r="O42" s="20"/>
      <c r="P42" s="20"/>
      <c r="Q42" s="20"/>
      <c r="R42" s="20"/>
      <c r="S42" s="20"/>
      <c r="T42" s="20"/>
      <c r="U42" s="20"/>
      <c r="V42" s="20">
        <f>[1]Gleason!$BT$230</f>
        <v>0</v>
      </c>
      <c r="W42" s="20"/>
      <c r="X42" s="20"/>
      <c r="Y42" s="20"/>
      <c r="Z42" s="11">
        <f>SUM(C42:Y42)</f>
        <v>0</v>
      </c>
      <c r="AA42" s="19" t="str">
        <f>AA25</f>
        <v>Ben Jacoby</v>
      </c>
    </row>
    <row r="43" spans="1:27" x14ac:dyDescent="0.2">
      <c r="A43" s="17" t="s">
        <v>65</v>
      </c>
      <c r="C43" s="21">
        <f t="shared" ref="C43:L43" si="8">SUM(C38:C42)</f>
        <v>0</v>
      </c>
      <c r="D43" s="21">
        <f t="shared" si="8"/>
        <v>0</v>
      </c>
      <c r="E43" s="21">
        <f t="shared" si="8"/>
        <v>0</v>
      </c>
      <c r="F43" s="21">
        <f t="shared" si="8"/>
        <v>0</v>
      </c>
      <c r="G43" s="21">
        <f t="shared" si="8"/>
        <v>0</v>
      </c>
      <c r="H43" s="21">
        <f t="shared" si="8"/>
        <v>0</v>
      </c>
      <c r="I43" s="21">
        <f t="shared" si="8"/>
        <v>0</v>
      </c>
      <c r="J43" s="21">
        <f t="shared" si="8"/>
        <v>0</v>
      </c>
      <c r="K43" s="21">
        <f t="shared" si="8"/>
        <v>0</v>
      </c>
      <c r="L43" s="21">
        <f t="shared" si="8"/>
        <v>4326863</v>
      </c>
      <c r="M43" s="54">
        <f t="shared" ref="M43:V43" si="9">SUM(M38:M42)</f>
        <v>499591.93</v>
      </c>
      <c r="N43" s="21">
        <f t="shared" si="9"/>
        <v>517447.92267638887</v>
      </c>
      <c r="O43" s="21">
        <f t="shared" si="9"/>
        <v>557933.42322977481</v>
      </c>
      <c r="P43" s="21">
        <f t="shared" si="9"/>
        <v>574337.94527365838</v>
      </c>
      <c r="Q43" s="21">
        <f t="shared" si="9"/>
        <v>637325.05403463135</v>
      </c>
      <c r="R43" s="21">
        <f t="shared" si="9"/>
        <v>691992.603976393</v>
      </c>
      <c r="S43" s="21">
        <f t="shared" si="9"/>
        <v>743208.53420950577</v>
      </c>
      <c r="T43" s="21">
        <f t="shared" si="9"/>
        <v>796197.38006888144</v>
      </c>
      <c r="U43" s="21">
        <f t="shared" si="9"/>
        <v>838754.74412480986</v>
      </c>
      <c r="V43" s="21">
        <f t="shared" si="9"/>
        <v>913934.05857770832</v>
      </c>
      <c r="W43" s="21">
        <f>SUM(W38:W42)</f>
        <v>0</v>
      </c>
      <c r="X43" s="21">
        <f>SUM(X38:X42)</f>
        <v>0</v>
      </c>
      <c r="Y43" s="21">
        <f>SUM(Y38:Y42)</f>
        <v>0</v>
      </c>
      <c r="Z43" s="22">
        <f>SUM(C43:V43)</f>
        <v>11097586.596171752</v>
      </c>
      <c r="AA43" s="20"/>
    </row>
    <row r="44" spans="1:27" x14ac:dyDescent="0.2">
      <c r="A44" s="17" t="s">
        <v>68</v>
      </c>
      <c r="C44" s="21">
        <f>+C43</f>
        <v>0</v>
      </c>
      <c r="D44" s="21">
        <f t="shared" ref="D44:L44" si="10">+D43</f>
        <v>0</v>
      </c>
      <c r="E44" s="21">
        <f t="shared" si="10"/>
        <v>0</v>
      </c>
      <c r="F44" s="21">
        <f t="shared" si="10"/>
        <v>0</v>
      </c>
      <c r="G44" s="21">
        <f t="shared" si="10"/>
        <v>0</v>
      </c>
      <c r="H44" s="21">
        <f t="shared" si="10"/>
        <v>0</v>
      </c>
      <c r="I44" s="21">
        <f t="shared" si="10"/>
        <v>0</v>
      </c>
      <c r="J44" s="21">
        <f t="shared" si="10"/>
        <v>0</v>
      </c>
      <c r="K44" s="21">
        <f t="shared" si="10"/>
        <v>0</v>
      </c>
      <c r="L44" s="21">
        <f t="shared" si="10"/>
        <v>4326863</v>
      </c>
      <c r="M44" s="54">
        <f>L44+M43</f>
        <v>4826454.93</v>
      </c>
      <c r="N44" s="54">
        <f t="shared" ref="N44:V44" si="11">M44+N43</f>
        <v>5343902.8526763888</v>
      </c>
      <c r="O44" s="54">
        <f t="shared" si="11"/>
        <v>5901836.2759061633</v>
      </c>
      <c r="P44" s="54">
        <f t="shared" si="11"/>
        <v>6476174.2211798215</v>
      </c>
      <c r="Q44" s="54">
        <f>P44+Q43</f>
        <v>7113499.2752144532</v>
      </c>
      <c r="R44" s="54">
        <f t="shared" si="11"/>
        <v>7805491.8791908463</v>
      </c>
      <c r="S44" s="54">
        <f t="shared" si="11"/>
        <v>8548700.413400352</v>
      </c>
      <c r="T44" s="54">
        <f t="shared" si="11"/>
        <v>9344897.7934692334</v>
      </c>
      <c r="U44" s="54">
        <f t="shared" si="11"/>
        <v>10183652.537594043</v>
      </c>
      <c r="V44" s="54">
        <f t="shared" si="11"/>
        <v>11097586.596171752</v>
      </c>
      <c r="W44" s="54">
        <f>V44+W43</f>
        <v>11097586.596171752</v>
      </c>
      <c r="X44" s="54">
        <f>W44+X43</f>
        <v>11097586.596171752</v>
      </c>
      <c r="Y44" s="54">
        <f>X44+Y43</f>
        <v>11097586.596171752</v>
      </c>
      <c r="Z44" s="11"/>
      <c r="AA44" s="20"/>
    </row>
    <row r="45" spans="1:27" x14ac:dyDescent="0.2">
      <c r="A45" s="17"/>
      <c r="C45" s="9"/>
      <c r="D45" s="9"/>
      <c r="E45" s="9"/>
      <c r="F45" s="9"/>
      <c r="G45" s="9"/>
      <c r="H45" s="9"/>
      <c r="I45" s="9"/>
      <c r="J45" s="9"/>
      <c r="K45" s="9"/>
      <c r="L45" s="9"/>
      <c r="M45" s="56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11"/>
      <c r="AA45" s="20"/>
    </row>
    <row r="46" spans="1:27" s="4" customFormat="1" x14ac:dyDescent="0.2">
      <c r="A46" s="4" t="s">
        <v>49</v>
      </c>
      <c r="C46" s="4">
        <f>+C34+C43</f>
        <v>0</v>
      </c>
      <c r="D46" s="4">
        <f t="shared" ref="D46:L46" si="12">+D34+D43</f>
        <v>0</v>
      </c>
      <c r="E46" s="4">
        <f t="shared" si="12"/>
        <v>0</v>
      </c>
      <c r="F46" s="4">
        <f t="shared" si="12"/>
        <v>0</v>
      </c>
      <c r="G46" s="4">
        <f t="shared" si="12"/>
        <v>0</v>
      </c>
      <c r="H46" s="4">
        <f t="shared" si="12"/>
        <v>0</v>
      </c>
      <c r="I46" s="4">
        <f t="shared" si="12"/>
        <v>0</v>
      </c>
      <c r="J46" s="4">
        <f t="shared" si="12"/>
        <v>0</v>
      </c>
      <c r="K46" s="4">
        <f t="shared" si="12"/>
        <v>0</v>
      </c>
      <c r="L46" s="4">
        <f t="shared" si="12"/>
        <v>93174572.049999997</v>
      </c>
      <c r="M46" s="57">
        <f t="shared" ref="M46:V46" si="13">+M34+M43</f>
        <v>706459.92999999993</v>
      </c>
      <c r="N46" s="4">
        <f t="shared" si="13"/>
        <v>2178270.2560097221</v>
      </c>
      <c r="O46" s="4">
        <f t="shared" si="13"/>
        <v>7520808.7565631075</v>
      </c>
      <c r="P46" s="4">
        <f t="shared" si="13"/>
        <v>3283904.4486069917</v>
      </c>
      <c r="Q46" s="4">
        <f t="shared" si="13"/>
        <v>11433319.588479076</v>
      </c>
      <c r="R46" s="4">
        <f t="shared" si="13"/>
        <v>10147138.308420839</v>
      </c>
      <c r="S46" s="4">
        <f t="shared" si="13"/>
        <v>9506464.5886539556</v>
      </c>
      <c r="T46" s="4">
        <f t="shared" si="13"/>
        <v>9835545.0045133233</v>
      </c>
      <c r="U46" s="4">
        <f t="shared" si="13"/>
        <v>7899301.497458146</v>
      </c>
      <c r="V46" s="4">
        <f t="shared" si="13"/>
        <v>15010252.751911042</v>
      </c>
      <c r="W46" s="4">
        <f>+W34+W43</f>
        <v>3826176.7699999996</v>
      </c>
      <c r="X46" s="4">
        <f>+X34+X43</f>
        <v>0</v>
      </c>
      <c r="Y46" s="4">
        <f>+Y34+Y43</f>
        <v>0</v>
      </c>
      <c r="Z46" s="11">
        <f>SUM(C46:V46)</f>
        <v>170696037.18061623</v>
      </c>
    </row>
    <row r="47" spans="1:27" s="4" customFormat="1" x14ac:dyDescent="0.2">
      <c r="A47" s="4" t="s">
        <v>45</v>
      </c>
      <c r="C47" s="4">
        <f>C46</f>
        <v>0</v>
      </c>
      <c r="D47" s="4">
        <f t="shared" ref="D47:L47" si="14">D46</f>
        <v>0</v>
      </c>
      <c r="E47" s="4">
        <f t="shared" si="14"/>
        <v>0</v>
      </c>
      <c r="F47" s="4">
        <f t="shared" si="14"/>
        <v>0</v>
      </c>
      <c r="G47" s="4">
        <f t="shared" si="14"/>
        <v>0</v>
      </c>
      <c r="H47" s="4">
        <f t="shared" si="14"/>
        <v>0</v>
      </c>
      <c r="I47" s="4">
        <f t="shared" si="14"/>
        <v>0</v>
      </c>
      <c r="J47" s="4">
        <f t="shared" si="14"/>
        <v>0</v>
      </c>
      <c r="K47" s="4">
        <f t="shared" si="14"/>
        <v>0</v>
      </c>
      <c r="L47" s="4">
        <f t="shared" si="14"/>
        <v>93174572.049999997</v>
      </c>
      <c r="M47" s="57">
        <f>M46+L47</f>
        <v>93881031.980000004</v>
      </c>
      <c r="N47" s="57">
        <f t="shared" ref="N47:V47" si="15">N46+M47</f>
        <v>96059302.236009732</v>
      </c>
      <c r="O47" s="57">
        <f t="shared" si="15"/>
        <v>103580110.99257284</v>
      </c>
      <c r="P47" s="57">
        <f t="shared" si="15"/>
        <v>106864015.44117984</v>
      </c>
      <c r="Q47" s="57">
        <f>Q46+P47</f>
        <v>118297335.02965891</v>
      </c>
      <c r="R47" s="57">
        <f t="shared" si="15"/>
        <v>128444473.33807975</v>
      </c>
      <c r="S47" s="57">
        <f t="shared" si="15"/>
        <v>137950937.9267337</v>
      </c>
      <c r="T47" s="57">
        <f t="shared" si="15"/>
        <v>147786482.93124703</v>
      </c>
      <c r="U47" s="57">
        <f t="shared" si="15"/>
        <v>155685784.42870519</v>
      </c>
      <c r="V47" s="57">
        <f t="shared" si="15"/>
        <v>170696037.18061623</v>
      </c>
      <c r="W47" s="57">
        <f>W46+V47</f>
        <v>174522213.95061624</v>
      </c>
      <c r="X47" s="57">
        <f>X46+W47</f>
        <v>174522213.95061624</v>
      </c>
      <c r="Y47" s="57">
        <f>Y46+X47</f>
        <v>174522213.95061624</v>
      </c>
      <c r="Z47" s="11"/>
    </row>
    <row r="48" spans="1:27" s="4" customFormat="1" x14ac:dyDescent="0.2">
      <c r="M48" s="57"/>
      <c r="Z48" s="11"/>
    </row>
    <row r="49" spans="1:31" s="4" customFormat="1" x14ac:dyDescent="0.2">
      <c r="M49" s="57"/>
    </row>
    <row r="50" spans="1:31" s="4" customFormat="1" x14ac:dyDescent="0.2">
      <c r="M50" s="57"/>
      <c r="Z50" s="16">
        <f>+Z46/C53/1000</f>
        <v>334.69811211885536</v>
      </c>
    </row>
    <row r="51" spans="1:31" s="4" customFormat="1" x14ac:dyDescent="0.2">
      <c r="A51" s="8" t="s">
        <v>96</v>
      </c>
      <c r="C51" s="12">
        <v>6.5000000000000002E-2</v>
      </c>
      <c r="M51" s="57"/>
      <c r="Z51" s="11"/>
    </row>
    <row r="52" spans="1:31" s="4" customFormat="1" x14ac:dyDescent="0.2">
      <c r="A52" s="8" t="s">
        <v>89</v>
      </c>
      <c r="C52" s="12">
        <v>3.5000000000000001E-3</v>
      </c>
      <c r="D52" s="35">
        <v>174500000</v>
      </c>
      <c r="M52" s="57"/>
      <c r="Z52" s="11"/>
    </row>
    <row r="53" spans="1:31" s="4" customFormat="1" x14ac:dyDescent="0.2">
      <c r="A53" s="17" t="s">
        <v>64</v>
      </c>
      <c r="C53" s="4">
        <v>510</v>
      </c>
      <c r="D53" s="4" t="s">
        <v>66</v>
      </c>
      <c r="M53" s="57"/>
      <c r="Z53" s="11"/>
    </row>
    <row r="54" spans="1:31" x14ac:dyDescent="0.2">
      <c r="A54" s="17" t="s">
        <v>39</v>
      </c>
      <c r="C54" s="4">
        <v>0</v>
      </c>
      <c r="V54" s="18">
        <v>0</v>
      </c>
      <c r="Z54" s="23">
        <f>SUM(C54:V54)</f>
        <v>0</v>
      </c>
      <c r="AA54" s="19" t="str">
        <f>AA41</f>
        <v>Rodney Malcolm</v>
      </c>
    </row>
    <row r="55" spans="1:31" s="4" customFormat="1" x14ac:dyDescent="0.2">
      <c r="A55" s="8"/>
      <c r="C55" s="12"/>
      <c r="M55" s="57"/>
      <c r="Z55" s="11"/>
    </row>
    <row r="56" spans="1:31" x14ac:dyDescent="0.2">
      <c r="A56" s="17" t="s">
        <v>69</v>
      </c>
      <c r="C56" s="4">
        <f t="shared" ref="C56:K56" si="16">+C46-C39</f>
        <v>0</v>
      </c>
      <c r="D56" s="4">
        <f t="shared" si="16"/>
        <v>0</v>
      </c>
      <c r="E56" s="4">
        <f t="shared" si="16"/>
        <v>0</v>
      </c>
      <c r="F56" s="4">
        <f t="shared" si="16"/>
        <v>0</v>
      </c>
      <c r="G56" s="4">
        <f t="shared" si="16"/>
        <v>0</v>
      </c>
      <c r="H56" s="4">
        <f t="shared" si="16"/>
        <v>0</v>
      </c>
      <c r="I56" s="4">
        <f t="shared" si="16"/>
        <v>0</v>
      </c>
      <c r="J56" s="4">
        <f t="shared" si="16"/>
        <v>0</v>
      </c>
      <c r="K56" s="4">
        <f t="shared" si="16"/>
        <v>0</v>
      </c>
      <c r="L56" s="4"/>
      <c r="M56" s="57">
        <f t="shared" ref="M56:Y56" si="17">+M46-M39</f>
        <v>200790.99999999994</v>
      </c>
      <c r="N56" s="4">
        <f t="shared" si="17"/>
        <v>1660822.3333333333</v>
      </c>
      <c r="O56" s="4">
        <f t="shared" si="17"/>
        <v>6962875.333333333</v>
      </c>
      <c r="P56" s="4">
        <f t="shared" si="17"/>
        <v>2709566.5033333334</v>
      </c>
      <c r="Q56" s="4">
        <f t="shared" si="17"/>
        <v>10795994.534444444</v>
      </c>
      <c r="R56" s="4">
        <f t="shared" si="17"/>
        <v>9455145.7044444457</v>
      </c>
      <c r="S56" s="4">
        <f t="shared" si="17"/>
        <v>8763256.054444449</v>
      </c>
      <c r="T56" s="4">
        <f t="shared" si="17"/>
        <v>9039347.6244444419</v>
      </c>
      <c r="U56" s="4">
        <f t="shared" si="17"/>
        <v>7060546.7533333357</v>
      </c>
      <c r="V56" s="4">
        <f t="shared" si="17"/>
        <v>14096318.693333333</v>
      </c>
      <c r="W56" s="4">
        <f t="shared" si="17"/>
        <v>3826176.7699999996</v>
      </c>
      <c r="X56" s="4">
        <f t="shared" si="17"/>
        <v>0</v>
      </c>
      <c r="Y56" s="4">
        <f t="shared" si="17"/>
        <v>0</v>
      </c>
      <c r="Z56" s="11">
        <f>SUM(C56:Y56)</f>
        <v>74570841.304444447</v>
      </c>
    </row>
    <row r="57" spans="1:31" x14ac:dyDescent="0.2">
      <c r="Z57" s="11"/>
    </row>
    <row r="58" spans="1:31" x14ac:dyDescent="0.2">
      <c r="Z58" s="11"/>
    </row>
    <row r="59" spans="1:31" ht="20.25" x14ac:dyDescent="0.55000000000000004">
      <c r="A59" s="32" t="s">
        <v>81</v>
      </c>
      <c r="Z59" s="11"/>
    </row>
    <row r="60" spans="1:31" x14ac:dyDescent="0.2">
      <c r="A60" s="4" t="s">
        <v>74</v>
      </c>
      <c r="Z60" s="11"/>
    </row>
    <row r="61" spans="1:31" x14ac:dyDescent="0.2">
      <c r="A61" s="39" t="s">
        <v>90</v>
      </c>
      <c r="B61" s="38"/>
      <c r="H61" s="17">
        <f>135487+48439.18</f>
        <v>183926.18</v>
      </c>
      <c r="I61" s="17">
        <v>0</v>
      </c>
      <c r="J61" s="18">
        <v>2645</v>
      </c>
      <c r="K61" s="18">
        <v>0</v>
      </c>
      <c r="L61" s="17">
        <f>-SUM(G61:K61)-M61</f>
        <v>-194774.18</v>
      </c>
      <c r="M61" s="52">
        <v>8203</v>
      </c>
      <c r="Q61" s="18">
        <v>0</v>
      </c>
      <c r="Z61" s="11">
        <f>SUM(C61:Y61)</f>
        <v>0</v>
      </c>
      <c r="AA61" s="39" t="s">
        <v>90</v>
      </c>
      <c r="AC61" s="18">
        <f>Z61+Z25</f>
        <v>540000</v>
      </c>
      <c r="AD61" s="18">
        <f>[1]Gleason!$BT$190</f>
        <v>540000</v>
      </c>
      <c r="AE61" s="18">
        <f>AC61-AD61</f>
        <v>0</v>
      </c>
    </row>
    <row r="62" spans="1:31" x14ac:dyDescent="0.2">
      <c r="A62" s="39" t="s">
        <v>91</v>
      </c>
      <c r="B62" s="38"/>
      <c r="E62" s="18">
        <v>0</v>
      </c>
      <c r="F62" s="18">
        <v>3543</v>
      </c>
      <c r="H62" s="18">
        <v>2193</v>
      </c>
      <c r="I62" s="18">
        <v>0</v>
      </c>
      <c r="K62" s="18">
        <v>0</v>
      </c>
      <c r="L62" s="17">
        <f>-SUM(G62:K62)</f>
        <v>-2193</v>
      </c>
      <c r="Z62" s="11">
        <f>SUM(C62:Y62)</f>
        <v>3543</v>
      </c>
      <c r="AA62" s="39" t="s">
        <v>91</v>
      </c>
      <c r="AC62" s="18">
        <f>Z62+Z33</f>
        <v>758056.83000000007</v>
      </c>
      <c r="AD62" s="18">
        <f>[1]Gleason!$BT$224</f>
        <v>752208.46</v>
      </c>
      <c r="AE62" s="18">
        <f>AC62-AD62</f>
        <v>5848.3700000001118</v>
      </c>
    </row>
    <row r="63" spans="1:31" x14ac:dyDescent="0.2">
      <c r="A63" s="39" t="s">
        <v>92</v>
      </c>
      <c r="B63" s="38"/>
      <c r="D63" s="18">
        <v>0</v>
      </c>
      <c r="I63" s="18">
        <v>0</v>
      </c>
      <c r="K63" s="18">
        <v>0</v>
      </c>
      <c r="L63" s="17">
        <f>-SUM(G63:K63)</f>
        <v>0</v>
      </c>
      <c r="Z63" s="11">
        <f>SUM(C63:Y63)</f>
        <v>0</v>
      </c>
      <c r="AA63" s="39" t="s">
        <v>92</v>
      </c>
      <c r="AC63" s="18">
        <f>Z63</f>
        <v>0</v>
      </c>
      <c r="AD63" s="18">
        <v>0</v>
      </c>
      <c r="AE63" s="18">
        <f>AC63-AD63</f>
        <v>0</v>
      </c>
    </row>
    <row r="64" spans="1:31" x14ac:dyDescent="0.2">
      <c r="A64" s="39" t="s">
        <v>93</v>
      </c>
      <c r="B64" s="38"/>
      <c r="C64" s="4">
        <v>0</v>
      </c>
      <c r="D64" s="18">
        <v>0</v>
      </c>
      <c r="E64" s="18">
        <v>5000</v>
      </c>
      <c r="F64" s="18">
        <f>716+188</f>
        <v>904</v>
      </c>
      <c r="G64" s="18">
        <v>7490.5</v>
      </c>
      <c r="H64" s="18">
        <v>2410.5100000000002</v>
      </c>
      <c r="I64" s="18">
        <v>0</v>
      </c>
      <c r="L64" s="17">
        <f>-SUM(G64:K64)</f>
        <v>-9901.01</v>
      </c>
      <c r="Z64" s="11">
        <f>SUM(C64:Y64)</f>
        <v>5904</v>
      </c>
      <c r="AA64" s="39" t="s">
        <v>93</v>
      </c>
      <c r="AC64" s="18">
        <f>Z64+Z32</f>
        <v>623216.73</v>
      </c>
      <c r="AD64" s="18">
        <f>[1]Gleason!$BT$218</f>
        <v>623216.18000000005</v>
      </c>
      <c r="AE64" s="18">
        <f>AC64-AD64</f>
        <v>0.54999999993015081</v>
      </c>
    </row>
    <row r="65" spans="1:31" x14ac:dyDescent="0.2">
      <c r="A65" s="39" t="s">
        <v>30</v>
      </c>
      <c r="B65" s="38"/>
      <c r="F65" s="18">
        <v>11817</v>
      </c>
      <c r="G65" s="18">
        <v>1079</v>
      </c>
      <c r="H65" s="18">
        <f>862+910.57</f>
        <v>1772.5700000000002</v>
      </c>
      <c r="I65" s="18">
        <v>0</v>
      </c>
      <c r="K65" s="18">
        <v>0</v>
      </c>
      <c r="L65" s="17">
        <f>-SUM(G65:K65)+1362.81</f>
        <v>-1488.7600000000002</v>
      </c>
      <c r="Z65" s="11">
        <f>SUM(C65:Y65)</f>
        <v>13179.81</v>
      </c>
      <c r="AA65" s="39" t="s">
        <v>30</v>
      </c>
      <c r="AC65" s="18">
        <f>Z65+Z31</f>
        <v>200000.30444444442</v>
      </c>
      <c r="AD65" s="18">
        <f>[1]Gleason!$BT$209</f>
        <v>200000</v>
      </c>
      <c r="AE65" s="18">
        <f>AC65-AD65</f>
        <v>0.30444444442400709</v>
      </c>
    </row>
    <row r="66" spans="1:31" x14ac:dyDescent="0.2">
      <c r="A66" s="4" t="s">
        <v>82</v>
      </c>
      <c r="C66" s="21">
        <f t="shared" ref="C66:L66" si="18">SUM(C61:C65)</f>
        <v>0</v>
      </c>
      <c r="D66" s="21">
        <f t="shared" si="18"/>
        <v>0</v>
      </c>
      <c r="E66" s="21">
        <f t="shared" si="18"/>
        <v>5000</v>
      </c>
      <c r="F66" s="21">
        <f t="shared" si="18"/>
        <v>16264</v>
      </c>
      <c r="G66" s="21">
        <f t="shared" si="18"/>
        <v>8569.5</v>
      </c>
      <c r="H66" s="21">
        <f t="shared" si="18"/>
        <v>190302.26</v>
      </c>
      <c r="I66" s="21">
        <f t="shared" si="18"/>
        <v>0</v>
      </c>
      <c r="J66" s="21">
        <f t="shared" si="18"/>
        <v>2645</v>
      </c>
      <c r="K66" s="21">
        <f t="shared" si="18"/>
        <v>0</v>
      </c>
      <c r="L66" s="21">
        <f t="shared" si="18"/>
        <v>-208356.95</v>
      </c>
      <c r="M66" s="54">
        <f t="shared" ref="M66:V66" si="19">SUM(M61:M65)</f>
        <v>8203</v>
      </c>
      <c r="N66" s="21">
        <f t="shared" si="19"/>
        <v>0</v>
      </c>
      <c r="O66" s="21">
        <f t="shared" si="19"/>
        <v>0</v>
      </c>
      <c r="P66" s="21">
        <f t="shared" si="19"/>
        <v>0</v>
      </c>
      <c r="Q66" s="21">
        <f t="shared" si="19"/>
        <v>0</v>
      </c>
      <c r="R66" s="21">
        <f t="shared" si="19"/>
        <v>0</v>
      </c>
      <c r="S66" s="21">
        <f t="shared" si="19"/>
        <v>0</v>
      </c>
      <c r="T66" s="21">
        <f t="shared" si="19"/>
        <v>0</v>
      </c>
      <c r="U66" s="21">
        <f t="shared" si="19"/>
        <v>0</v>
      </c>
      <c r="V66" s="21">
        <f t="shared" si="19"/>
        <v>0</v>
      </c>
      <c r="W66" s="21">
        <f>SUM(W61:W65)</f>
        <v>0</v>
      </c>
      <c r="X66" s="21">
        <f>SUM(X61:X65)</f>
        <v>0</v>
      </c>
      <c r="Y66" s="21">
        <f>SUM(Y61:Y65)</f>
        <v>0</v>
      </c>
      <c r="Z66" s="22">
        <f>SUM(C66:V66)</f>
        <v>22626.809999999998</v>
      </c>
    </row>
    <row r="67" spans="1:31" x14ac:dyDescent="0.2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58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1"/>
    </row>
    <row r="68" spans="1:31" x14ac:dyDescent="0.2">
      <c r="A68" s="17" t="s">
        <v>97</v>
      </c>
      <c r="C68" s="9"/>
      <c r="D68" s="20"/>
      <c r="E68" s="20"/>
      <c r="F68" s="20"/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56"/>
      <c r="N68" s="20"/>
      <c r="O68" s="20">
        <f>[1]Gleason!$AR$237</f>
        <v>65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1">
        <f>SUM(C68:V68)</f>
        <v>65</v>
      </c>
      <c r="AA68" s="20"/>
    </row>
    <row r="69" spans="1:31" s="43" customFormat="1" x14ac:dyDescent="0.2">
      <c r="A69" s="21" t="s">
        <v>98</v>
      </c>
      <c r="C69" s="21">
        <f>SUM(C68:C68)</f>
        <v>0</v>
      </c>
      <c r="D69" s="21">
        <f>SUM(D66:D68)</f>
        <v>0</v>
      </c>
      <c r="E69" s="21">
        <f t="shared" ref="E69:Z69" si="20">SUM(E66:E68)</f>
        <v>5000</v>
      </c>
      <c r="F69" s="21">
        <f t="shared" si="20"/>
        <v>16264</v>
      </c>
      <c r="G69" s="21">
        <f t="shared" si="20"/>
        <v>8569.5</v>
      </c>
      <c r="H69" s="21">
        <f t="shared" si="20"/>
        <v>190302.26</v>
      </c>
      <c r="I69" s="21">
        <f t="shared" si="20"/>
        <v>0</v>
      </c>
      <c r="J69" s="21">
        <f t="shared" si="20"/>
        <v>2645</v>
      </c>
      <c r="K69" s="21">
        <f t="shared" si="20"/>
        <v>0</v>
      </c>
      <c r="L69" s="21">
        <f t="shared" si="20"/>
        <v>-208356.95</v>
      </c>
      <c r="M69" s="21">
        <f t="shared" si="20"/>
        <v>8203</v>
      </c>
      <c r="N69" s="21">
        <f t="shared" si="20"/>
        <v>0</v>
      </c>
      <c r="O69" s="21">
        <f t="shared" si="20"/>
        <v>65</v>
      </c>
      <c r="P69" s="21">
        <f t="shared" si="20"/>
        <v>0</v>
      </c>
      <c r="Q69" s="21">
        <f t="shared" si="20"/>
        <v>0</v>
      </c>
      <c r="R69" s="21">
        <f t="shared" si="20"/>
        <v>0</v>
      </c>
      <c r="S69" s="21">
        <f t="shared" si="20"/>
        <v>0</v>
      </c>
      <c r="T69" s="21">
        <f t="shared" si="20"/>
        <v>0</v>
      </c>
      <c r="U69" s="21">
        <f t="shared" si="20"/>
        <v>0</v>
      </c>
      <c r="V69" s="21">
        <f t="shared" si="20"/>
        <v>0</v>
      </c>
      <c r="W69" s="21">
        <f>SUM(W66:W68)</f>
        <v>0</v>
      </c>
      <c r="X69" s="21">
        <f>SUM(X66:X68)</f>
        <v>0</v>
      </c>
      <c r="Y69" s="21">
        <f>SUM(Y66:Y68)</f>
        <v>0</v>
      </c>
      <c r="Z69" s="21">
        <f t="shared" si="20"/>
        <v>22691.809999999998</v>
      </c>
    </row>
    <row r="70" spans="1:31" x14ac:dyDescent="0.2">
      <c r="A70" s="4"/>
      <c r="C70" s="9"/>
      <c r="D70" s="9"/>
      <c r="E70" s="9"/>
      <c r="F70" s="9"/>
      <c r="G70" s="9"/>
      <c r="H70" s="9"/>
      <c r="I70" s="9"/>
      <c r="J70" s="9"/>
      <c r="K70" s="9"/>
      <c r="L70" s="9"/>
      <c r="M70" s="58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1"/>
      <c r="AA70" s="20"/>
    </row>
    <row r="71" spans="1:31" x14ac:dyDescent="0.2">
      <c r="Z71" s="11"/>
    </row>
    <row r="72" spans="1:31" x14ac:dyDescent="0.2">
      <c r="A72" s="4" t="s">
        <v>118</v>
      </c>
      <c r="C72" s="9">
        <f>+C46+C69+C66</f>
        <v>0</v>
      </c>
      <c r="D72" s="9">
        <f>+D46+D69+D66</f>
        <v>0</v>
      </c>
      <c r="E72" s="9">
        <f>+E69+E46</f>
        <v>5000</v>
      </c>
      <c r="F72" s="9">
        <f t="shared" ref="F72:Y72" si="21">+F69+F46</f>
        <v>16264</v>
      </c>
      <c r="G72" s="9">
        <f t="shared" si="21"/>
        <v>8569.5</v>
      </c>
      <c r="H72" s="9">
        <f t="shared" si="21"/>
        <v>190302.26</v>
      </c>
      <c r="I72" s="9">
        <f t="shared" si="21"/>
        <v>0</v>
      </c>
      <c r="J72" s="9">
        <f t="shared" si="21"/>
        <v>2645</v>
      </c>
      <c r="K72" s="9">
        <f t="shared" si="21"/>
        <v>0</v>
      </c>
      <c r="L72" s="9">
        <f>D69:L69+L46</f>
        <v>92966215.099999994</v>
      </c>
      <c r="M72" s="9">
        <f t="shared" si="21"/>
        <v>714662.92999999993</v>
      </c>
      <c r="N72" s="9">
        <f t="shared" si="21"/>
        <v>2178270.2560097221</v>
      </c>
      <c r="O72" s="9">
        <f t="shared" si="21"/>
        <v>7520873.7565631075</v>
      </c>
      <c r="P72" s="9">
        <f t="shared" si="21"/>
        <v>3283904.4486069917</v>
      </c>
      <c r="Q72" s="9">
        <f t="shared" si="21"/>
        <v>11433319.588479076</v>
      </c>
      <c r="R72" s="9">
        <f t="shared" si="21"/>
        <v>10147138.308420839</v>
      </c>
      <c r="S72" s="9">
        <f t="shared" si="21"/>
        <v>9506464.5886539556</v>
      </c>
      <c r="T72" s="9">
        <f t="shared" si="21"/>
        <v>9835545.0045133233</v>
      </c>
      <c r="U72" s="9">
        <f t="shared" si="21"/>
        <v>7899301.497458146</v>
      </c>
      <c r="V72" s="9">
        <f t="shared" si="21"/>
        <v>15010252.751911042</v>
      </c>
      <c r="W72" s="9">
        <f t="shared" si="21"/>
        <v>3826176.7699999996</v>
      </c>
      <c r="X72" s="9">
        <f t="shared" si="21"/>
        <v>0</v>
      </c>
      <c r="Y72" s="9">
        <f t="shared" si="21"/>
        <v>0</v>
      </c>
      <c r="Z72" s="9">
        <f>SUM(C72:Y72)</f>
        <v>174544905.76061624</v>
      </c>
    </row>
    <row r="73" spans="1:31" x14ac:dyDescent="0.2">
      <c r="Z73" s="4">
        <f>Z72-[1]Gleason!$BT$240</f>
        <v>255848.71444448829</v>
      </c>
      <c r="AA73" s="17" t="s">
        <v>128</v>
      </c>
    </row>
    <row r="74" spans="1:31" x14ac:dyDescent="0.2">
      <c r="I74" s="17"/>
    </row>
  </sheetData>
  <printOptions horizontalCentered="1"/>
  <pageMargins left="0.25" right="0.25" top="0.5" bottom="0.5" header="0.25" footer="0.5"/>
  <pageSetup scale="39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C8" activePane="bottomRight" state="frozen"/>
      <selection activeCell="E1" sqref="E1"/>
      <selection pane="topRight" activeCell="E1" sqref="E1"/>
      <selection pane="bottomLeft" activeCell="E1" sqref="E1"/>
      <selection pane="bottomRight" activeCell="C8" sqref="C8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4" style="18" customWidth="1"/>
    <col min="5" max="11" width="11.28515625" style="18" bestFit="1" customWidth="1"/>
    <col min="12" max="12" width="12.140625" style="18" bestFit="1" customWidth="1"/>
    <col min="13" max="13" width="11.28515625" style="18" bestFit="1" customWidth="1"/>
    <col min="14" max="21" width="12.28515625" style="18" bestFit="1" customWidth="1"/>
    <col min="22" max="24" width="12.28515625" style="18" customWidth="1"/>
    <col min="25" max="25" width="13.85546875" style="4" customWidth="1"/>
    <col min="26" max="26" width="20" style="18" bestFit="1" customWidth="1"/>
    <col min="27" max="27" width="12.28515625" style="18" customWidth="1"/>
    <col min="28" max="28" width="10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December 24, 1999</v>
      </c>
      <c r="Y2" s="25" t="str">
        <f ca="1">CELL("filename")</f>
        <v>O:\Fin_Ops\Engysvc\PowerPlants\2000 Plants\Draw Schedule\[Draw Sched - 011100.xls]Wilton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36536.318263425928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f>1072769-318421</f>
        <v>754348</v>
      </c>
      <c r="Q10" s="18">
        <v>100000</v>
      </c>
      <c r="R10" s="18">
        <v>1072769</v>
      </c>
      <c r="T10" s="18">
        <v>231601</v>
      </c>
      <c r="U10" s="18">
        <f>85821500-81565943+66200+1033169-4972</f>
        <v>5349954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595253.1</v>
      </c>
      <c r="Q11" s="18">
        <v>595253.1</v>
      </c>
      <c r="R11" s="18">
        <v>793670.8</v>
      </c>
      <c r="S11" s="18">
        <v>0</v>
      </c>
      <c r="Y11" s="11">
        <f t="shared" ref="Y11:Y33" si="0">SUM(C11:X11)</f>
        <v>4440534.3</v>
      </c>
      <c r="Z11" s="15" t="s">
        <v>50</v>
      </c>
      <c r="AA11" s="18">
        <f>[1]Wheatland!$BR$32</f>
        <v>4440534</v>
      </c>
      <c r="AB11" s="18">
        <f t="shared" ref="AB11:AB30" si="1">Y11-AA11</f>
        <v>0.29999999981373549</v>
      </c>
    </row>
    <row r="12" spans="1:28" x14ac:dyDescent="0.2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f>(0.2689-0.1174)*AA12</f>
        <v>1905348.8399999996</v>
      </c>
      <c r="Q12" s="18">
        <f>(0.4673-0.2689)*AA12</f>
        <v>2495189.5040000002</v>
      </c>
      <c r="R12" s="18">
        <f>(0.6503-0.4673)*AA12</f>
        <v>2301510.48</v>
      </c>
      <c r="S12" s="18">
        <f>(0.7833-0.6503)*AA12</f>
        <v>1672682.48</v>
      </c>
      <c r="T12" s="18">
        <f>(0.8703-0.7833)*AA12</f>
        <v>1094160.7199999995</v>
      </c>
      <c r="U12" s="18">
        <f>(0.9476-0.8703)*AA12</f>
        <v>972168.08800000045</v>
      </c>
      <c r="V12" s="18">
        <f>(1-0.9476)*AA12</f>
        <v>659011.74400000006</v>
      </c>
      <c r="Y12" s="11">
        <f t="shared" si="0"/>
        <v>11727017.856000001</v>
      </c>
      <c r="Z12" s="15" t="s">
        <v>50</v>
      </c>
      <c r="AA12" s="18">
        <f>[1]Wheatland!$BR$56</f>
        <v>12576560</v>
      </c>
      <c r="AB12" s="18">
        <f t="shared" si="1"/>
        <v>-849542.14399999939</v>
      </c>
    </row>
    <row r="13" spans="1:28" x14ac:dyDescent="0.2">
      <c r="A13" s="17" t="s">
        <v>120</v>
      </c>
      <c r="C13" s="4">
        <v>0</v>
      </c>
      <c r="F13" s="8"/>
      <c r="N13" s="18">
        <v>115533</v>
      </c>
      <c r="P13" s="18">
        <f>(0.2689-0.1174)*AA13</f>
        <v>793918.17599999986</v>
      </c>
      <c r="Q13" s="18">
        <f>(0.4673-0.2689)*AA13</f>
        <v>1039692.1856000001</v>
      </c>
      <c r="R13" s="18">
        <f>(0.6503-0.4673)*AA13</f>
        <v>958990.272</v>
      </c>
      <c r="S13" s="18">
        <f>(0.7833-0.6503)*AA13</f>
        <v>696971.07200000004</v>
      </c>
      <c r="T13" s="18">
        <f>(0.8703-0.7833)*AA13</f>
        <v>455913.40799999982</v>
      </c>
      <c r="U13" s="18">
        <f>(0.9476-0.8703)*AA13</f>
        <v>405081.6832000002</v>
      </c>
      <c r="V13" s="18">
        <f>(1-0.9476)*AA13</f>
        <v>274596.12160000001</v>
      </c>
      <c r="Y13" s="11">
        <f t="shared" si="0"/>
        <v>4740695.9183999998</v>
      </c>
      <c r="Z13" s="15"/>
      <c r="AA13" s="18">
        <f>[1]Wheatland!$BR$82</f>
        <v>5240384</v>
      </c>
      <c r="AB13" s="18">
        <f t="shared" si="1"/>
        <v>-499688.08160000015</v>
      </c>
    </row>
    <row r="14" spans="1:28" x14ac:dyDescent="0.2">
      <c r="A14" s="17" t="s">
        <v>121</v>
      </c>
      <c r="M14" s="18">
        <v>0</v>
      </c>
      <c r="N14" s="18">
        <v>61343</v>
      </c>
      <c r="P14" s="18">
        <f>(0.2689-0.1174)*AA14</f>
        <v>1844779.2914999996</v>
      </c>
      <c r="Q14" s="18">
        <f>(0.4673-0.2689)*AA14</f>
        <v>2415869.3824000005</v>
      </c>
      <c r="R14" s="18">
        <f>(0.6503-0.4673)*AA14</f>
        <v>2228347.2629999998</v>
      </c>
      <c r="S14" s="18">
        <f>(0.7833-0.6503)*AA14</f>
        <v>1619509.213</v>
      </c>
      <c r="T14" s="18">
        <f>(0.8703-0.7833)*AA14</f>
        <v>1059378.2069999997</v>
      </c>
      <c r="U14" s="18">
        <f>(0.9476-0.8703)*AA14</f>
        <v>941263.62530000042</v>
      </c>
      <c r="V14" s="18">
        <f>(1-0.9476)*AA14</f>
        <v>638062.27639999997</v>
      </c>
      <c r="Y14" s="11">
        <f t="shared" si="0"/>
        <v>10808552.2586</v>
      </c>
      <c r="Z14" s="15"/>
      <c r="AA14" s="18">
        <f>[1]Wheatland!$BR$114</f>
        <v>12176761</v>
      </c>
      <c r="AB14" s="18">
        <f t="shared" si="1"/>
        <v>-1368208.7413999997</v>
      </c>
    </row>
    <row r="15" spans="1:28" x14ac:dyDescent="0.2">
      <c r="A15" s="17" t="s">
        <v>122</v>
      </c>
      <c r="N15" s="18">
        <v>0</v>
      </c>
      <c r="P15" s="18">
        <f>(0.2689-0.1174)*AA15</f>
        <v>1496890.2959999996</v>
      </c>
      <c r="Q15" s="18">
        <f>(0.4673-0.2689)*AA15</f>
        <v>1960284.0576000002</v>
      </c>
      <c r="R15" s="18">
        <f>(0.6503-0.4673)*AA15</f>
        <v>1808124.912</v>
      </c>
      <c r="S15" s="18">
        <f>(0.7833-0.6503)*AA15</f>
        <v>1314101.7120000001</v>
      </c>
      <c r="T15" s="18">
        <f>(0.8703-0.7833)*AA15</f>
        <v>859600.36799999967</v>
      </c>
      <c r="U15" s="18">
        <f>(0.9476-0.8703)*AA15</f>
        <v>763759.86720000033</v>
      </c>
      <c r="V15" s="18">
        <f>(1-0.9476)*AA15</f>
        <v>517736.31359999999</v>
      </c>
      <c r="Y15" s="11">
        <f t="shared" si="0"/>
        <v>8720497.5263999999</v>
      </c>
      <c r="Z15" s="15"/>
      <c r="AA15" s="18">
        <f>[1]Wheatland!$BR$119</f>
        <v>9880464</v>
      </c>
      <c r="AB15" s="18">
        <f t="shared" si="1"/>
        <v>-1159966.4736000001</v>
      </c>
    </row>
    <row r="16" spans="1:28" x14ac:dyDescent="0.2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[1]Wheatland!$BR$153</f>
        <v>50000</v>
      </c>
      <c r="AB16" s="18">
        <f t="shared" si="1"/>
        <v>0</v>
      </c>
    </row>
    <row r="17" spans="1:28" x14ac:dyDescent="0.2">
      <c r="A17" s="17" t="s">
        <v>124</v>
      </c>
      <c r="N17" s="18">
        <v>3651557</v>
      </c>
      <c r="P17" s="18">
        <v>225848</v>
      </c>
      <c r="Y17" s="11">
        <f t="shared" si="0"/>
        <v>3877405</v>
      </c>
      <c r="Z17" s="15"/>
      <c r="AB17" s="18">
        <f t="shared" si="1"/>
        <v>3877405</v>
      </c>
    </row>
    <row r="18" spans="1:28" x14ac:dyDescent="0.2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[1]Wheatland!$BR$127</f>
        <v>929800</v>
      </c>
      <c r="AB18" s="18">
        <f t="shared" si="1"/>
        <v>-3.3333331812173128E-3</v>
      </c>
    </row>
    <row r="19" spans="1:28" x14ac:dyDescent="0.2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f t="shared" si="3"/>
        <v>198891.66666666666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2386700/12+6+3-7</f>
        <v>198893.66666666666</v>
      </c>
      <c r="Y19" s="11">
        <f t="shared" si="0"/>
        <v>2386700.3366666669</v>
      </c>
      <c r="Z19" s="15"/>
      <c r="AA19" s="18">
        <f>[1]Wheatland!$BR$128</f>
        <v>2386700</v>
      </c>
      <c r="AB19" s="18">
        <f t="shared" si="1"/>
        <v>0.33666666690260172</v>
      </c>
    </row>
    <row r="20" spans="1:28" x14ac:dyDescent="0.2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[1]Wheatland!$BR$129</f>
        <v>3066700</v>
      </c>
      <c r="AB20" s="18">
        <f t="shared" si="1"/>
        <v>0</v>
      </c>
    </row>
    <row r="21" spans="1:28" x14ac:dyDescent="0.2">
      <c r="A21" s="17" t="s">
        <v>42</v>
      </c>
      <c r="C21" s="4">
        <v>0</v>
      </c>
      <c r="P21" s="18">
        <v>125000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U22" s="18">
        <f>1500000-38084</f>
        <v>1461916</v>
      </c>
      <c r="Y22" s="11">
        <f t="shared" si="0"/>
        <v>1500000</v>
      </c>
      <c r="Z22" s="15"/>
      <c r="AA22" s="18">
        <f>[1]Wheatland!$BR$151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[1]Wheatland!$BR$155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Q24" s="18">
        <v>1000</v>
      </c>
      <c r="Y24" s="11">
        <f t="shared" si="0"/>
        <v>1117944.26</v>
      </c>
      <c r="Z24" s="15" t="s">
        <v>57</v>
      </c>
      <c r="AA24" s="18">
        <f>[1]Wheatland!$BR$162</f>
        <v>1117943.8600000001</v>
      </c>
      <c r="AB24" s="18">
        <f t="shared" si="1"/>
        <v>0.39999999990686774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48575</v>
      </c>
      <c r="Q25" s="18">
        <v>41756</v>
      </c>
      <c r="Y25" s="11">
        <f t="shared" si="0"/>
        <v>313820.42000000004</v>
      </c>
      <c r="Z25" s="15" t="str">
        <f>Z24</f>
        <v>Steve Dowd</v>
      </c>
    </row>
    <row r="26" spans="1:28" x14ac:dyDescent="0.2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500000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f>1500000-15000</f>
        <v>1485000</v>
      </c>
      <c r="Y26" s="11">
        <f t="shared" si="0"/>
        <v>5000000</v>
      </c>
      <c r="Z26" s="15" t="s">
        <v>53</v>
      </c>
      <c r="AA26" s="18">
        <f>[1]Wheatland!$BR$171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500000</v>
      </c>
      <c r="R27" s="18">
        <v>54000</v>
      </c>
      <c r="Y27" s="11">
        <f t="shared" si="0"/>
        <v>1500000</v>
      </c>
      <c r="Z27" s="15" t="s">
        <v>53</v>
      </c>
      <c r="AA27" s="18">
        <f>[1]Wheatland!$BR$173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[1]Wheatland!$BR$179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[1]Wheatland!$BR$181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11111.111111111111</v>
      </c>
      <c r="Q31" s="18">
        <v>11111.111111111111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/>
      <c r="W31" s="17"/>
      <c r="X31" s="17"/>
      <c r="Y31" s="11">
        <f t="shared" si="0"/>
        <v>185199.11555555553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28571.428571428572</v>
      </c>
      <c r="Q32" s="18">
        <v>28571.428571428572</v>
      </c>
      <c r="R32" s="18">
        <v>56516</v>
      </c>
      <c r="S32" s="18">
        <v>22986</v>
      </c>
      <c r="T32" s="18">
        <v>80349</v>
      </c>
      <c r="Y32" s="11">
        <f t="shared" si="0"/>
        <v>604558.54714285722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[1]Wheatland!$AR$199</f>
        <v>320554.97000000003</v>
      </c>
      <c r="P33" s="18">
        <v>10000</v>
      </c>
      <c r="Q33" s="18">
        <v>10000</v>
      </c>
      <c r="R33" s="18">
        <v>10000</v>
      </c>
      <c r="S33" s="18">
        <v>10000</v>
      </c>
      <c r="T33" s="18">
        <v>7559</v>
      </c>
      <c r="U33" s="18">
        <f>2441+1962+197444</f>
        <v>201847</v>
      </c>
      <c r="V33" s="18">
        <f>6654-1</f>
        <v>6653</v>
      </c>
      <c r="Y33" s="11">
        <f t="shared" si="0"/>
        <v>652208.3600000001</v>
      </c>
      <c r="Z33" s="15">
        <f>Z32</f>
        <v>0</v>
      </c>
    </row>
    <row r="34" spans="1:27" x14ac:dyDescent="0.2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4161627.7600000002</v>
      </c>
      <c r="P34" s="21">
        <f t="shared" si="4"/>
        <v>8616018.2431825399</v>
      </c>
      <c r="Q34" s="21">
        <f t="shared" si="4"/>
        <v>10100101.769282542</v>
      </c>
      <c r="R34" s="21">
        <f t="shared" si="4"/>
        <v>10196414.838111112</v>
      </c>
      <c r="S34" s="21">
        <f t="shared" si="4"/>
        <v>7238736.588111111</v>
      </c>
      <c r="T34" s="21">
        <f t="shared" si="4"/>
        <v>6712159.8141111098</v>
      </c>
      <c r="U34" s="21">
        <f t="shared" si="4"/>
        <v>15421313.263700001</v>
      </c>
      <c r="V34" s="21">
        <f>SUM(V8:V33)</f>
        <v>2146059.4556</v>
      </c>
      <c r="W34" s="21">
        <f>SUM(W8:W33)</f>
        <v>0</v>
      </c>
      <c r="X34" s="21">
        <f>SUM(X8:X33)</f>
        <v>24125</v>
      </c>
      <c r="Y34" s="22">
        <f>SUM(C34:U34)</f>
        <v>148952267.92983177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90667523.413333341</v>
      </c>
      <c r="P35" s="21">
        <f t="shared" si="5"/>
        <v>99283541.656515881</v>
      </c>
      <c r="Q35" s="21">
        <f t="shared" si="5"/>
        <v>109383643.42579842</v>
      </c>
      <c r="R35" s="21">
        <f t="shared" si="5"/>
        <v>119580058.26390953</v>
      </c>
      <c r="S35" s="21">
        <f t="shared" si="5"/>
        <v>126818794.85202065</v>
      </c>
      <c r="T35" s="21">
        <f t="shared" si="5"/>
        <v>133530954.66613176</v>
      </c>
      <c r="U35" s="21">
        <f t="shared" si="5"/>
        <v>148952267.92983177</v>
      </c>
      <c r="V35" s="21">
        <f>+U35+V34</f>
        <v>151098327.38543177</v>
      </c>
      <c r="W35" s="21">
        <f>+V35+W34</f>
        <v>151098327.38543177</v>
      </c>
      <c r="X35" s="21">
        <f>+W35+X34</f>
        <v>151122452.38543177</v>
      </c>
      <c r="Y35" s="11"/>
    </row>
    <row r="36" spans="1:27" x14ac:dyDescent="0.2">
      <c r="A36" s="17" t="s">
        <v>64</v>
      </c>
      <c r="F36" s="8"/>
      <c r="Y36" s="16">
        <f>+Y34/C51/1000</f>
        <v>316.91971899964204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6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f t="shared" si="7"/>
        <v>567528.77128005796</v>
      </c>
      <c r="Q39" s="30">
        <f t="shared" si="7"/>
        <v>625311.77004143863</v>
      </c>
      <c r="R39" s="30">
        <f t="shared" si="7"/>
        <v>683929.45583559829</v>
      </c>
      <c r="S39" s="30">
        <f t="shared" si="7"/>
        <v>726843.89690697647</v>
      </c>
      <c r="T39" s="30">
        <f t="shared" si="7"/>
        <v>767138.50034165767</v>
      </c>
      <c r="U39" s="30">
        <f t="shared" si="7"/>
        <v>854825.94739688339</v>
      </c>
      <c r="V39" s="30">
        <v>0</v>
      </c>
      <c r="W39" s="30">
        <v>0</v>
      </c>
      <c r="X39" s="30">
        <v>0</v>
      </c>
      <c r="Y39" s="11">
        <f t="shared" si="6"/>
        <v>9722656.575451266</v>
      </c>
      <c r="Z39" s="19" t="str">
        <f>Z52</f>
        <v>Rodney Malcolm</v>
      </c>
      <c r="AA39" s="18">
        <f>Y39</f>
        <v>9722656.575451266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6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6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f>[1]Wheatland!$BP$205</f>
        <v>0.10000000009313226</v>
      </c>
      <c r="V42" s="20"/>
      <c r="W42" s="20"/>
      <c r="X42" s="20"/>
      <c r="Y42" s="11">
        <f t="shared" si="6"/>
        <v>0.10000000009313226</v>
      </c>
      <c r="Z42" s="19" t="str">
        <f>Z24</f>
        <v>Steve Dowd</v>
      </c>
      <c r="AA42" s="18">
        <f>Y42</f>
        <v>0.10000000009313226</v>
      </c>
    </row>
    <row r="43" spans="1:27" x14ac:dyDescent="0.2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516340</v>
      </c>
      <c r="P43" s="21">
        <f t="shared" si="8"/>
        <v>567528.77128005796</v>
      </c>
      <c r="Q43" s="21">
        <f t="shared" si="8"/>
        <v>625311.77004143863</v>
      </c>
      <c r="R43" s="21">
        <f t="shared" si="8"/>
        <v>683929.45583559829</v>
      </c>
      <c r="S43" s="21">
        <f t="shared" si="8"/>
        <v>726843.89690697647</v>
      </c>
      <c r="T43" s="21">
        <f t="shared" si="8"/>
        <v>767138.50034165767</v>
      </c>
      <c r="U43" s="21">
        <f t="shared" si="8"/>
        <v>854826.04739688348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6"/>
        <v>9716579.1754512656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5491000.7336486531</v>
      </c>
      <c r="P44" s="21">
        <f t="shared" si="9"/>
        <v>6058529.5049287109</v>
      </c>
      <c r="Q44" s="21">
        <f t="shared" si="9"/>
        <v>6683841.2749701496</v>
      </c>
      <c r="R44" s="21">
        <f t="shared" si="9"/>
        <v>7367770.7308057481</v>
      </c>
      <c r="S44" s="21">
        <f t="shared" si="9"/>
        <v>8094614.6277127247</v>
      </c>
      <c r="T44" s="21">
        <f t="shared" si="9"/>
        <v>8861753.1280543823</v>
      </c>
      <c r="U44" s="21">
        <f t="shared" si="9"/>
        <v>9716579.1754512656</v>
      </c>
      <c r="V44" s="21">
        <f>+V43+U44</f>
        <v>9716579.1754512656</v>
      </c>
      <c r="W44" s="21">
        <f>+W43+V44</f>
        <v>9716579.1754512656</v>
      </c>
      <c r="X44" s="21">
        <f>+X43+W44</f>
        <v>9716579.1754512656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4677967.76</v>
      </c>
      <c r="P46" s="4">
        <f t="shared" si="10"/>
        <v>9183547.0144625977</v>
      </c>
      <c r="Q46" s="4">
        <f t="shared" si="10"/>
        <v>10725413.53932398</v>
      </c>
      <c r="R46" s="4">
        <f t="shared" si="10"/>
        <v>10880344.293946709</v>
      </c>
      <c r="S46" s="4">
        <f t="shared" si="10"/>
        <v>7965580.4850180876</v>
      </c>
      <c r="T46" s="4">
        <f t="shared" si="10"/>
        <v>7479298.3144527674</v>
      </c>
      <c r="U46" s="4">
        <f t="shared" si="10"/>
        <v>16276139.311096884</v>
      </c>
      <c r="V46" s="4">
        <f>+V34+V43</f>
        <v>2146059.4556</v>
      </c>
      <c r="W46" s="4">
        <f>+W34+W43</f>
        <v>0</v>
      </c>
      <c r="X46" s="4">
        <f>+X34+X43</f>
        <v>24125</v>
      </c>
      <c r="Y46" s="11">
        <f>SUM(C46:X46)</f>
        <v>160839031.56088302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96158524.146981999</v>
      </c>
      <c r="P47" s="4">
        <f t="shared" si="11"/>
        <v>105342071.1614446</v>
      </c>
      <c r="Q47" s="4">
        <f t="shared" si="11"/>
        <v>116067484.70076859</v>
      </c>
      <c r="R47" s="4">
        <f t="shared" si="11"/>
        <v>126947828.9947153</v>
      </c>
      <c r="S47" s="4">
        <f t="shared" si="11"/>
        <v>134913409.47973338</v>
      </c>
      <c r="T47" s="4">
        <f t="shared" si="11"/>
        <v>142392707.79418615</v>
      </c>
      <c r="U47" s="4">
        <f t="shared" si="11"/>
        <v>158668847.10528302</v>
      </c>
      <c r="V47" s="4">
        <f>U47+V46</f>
        <v>160814906.56088302</v>
      </c>
      <c r="W47" s="4">
        <f>V47+W46</f>
        <v>160814906.56088302</v>
      </c>
      <c r="X47" s="4">
        <f>W47+X46</f>
        <v>160839031.56088302</v>
      </c>
      <c r="Y47" s="11"/>
    </row>
    <row r="48" spans="1:27" s="4" customFormat="1" x14ac:dyDescent="0.2">
      <c r="Y48" s="16">
        <f>+Y46/C51/1000</f>
        <v>342.21070544868724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4161627.76</v>
      </c>
      <c r="P54" s="4">
        <f t="shared" si="12"/>
        <v>8616018.2431825399</v>
      </c>
      <c r="Q54" s="4">
        <f t="shared" si="12"/>
        <v>10100101.769282542</v>
      </c>
      <c r="R54" s="4">
        <f t="shared" si="12"/>
        <v>10196414.838111112</v>
      </c>
      <c r="S54" s="4">
        <f t="shared" si="12"/>
        <v>7238736.588111111</v>
      </c>
      <c r="T54" s="4">
        <f t="shared" si="12"/>
        <v>6712159.8141111098</v>
      </c>
      <c r="U54" s="4">
        <f t="shared" si="12"/>
        <v>15421313.363700001</v>
      </c>
      <c r="V54" s="4">
        <f t="shared" si="12"/>
        <v>2146059.4556</v>
      </c>
      <c r="W54" s="4">
        <f t="shared" si="12"/>
        <v>0</v>
      </c>
      <c r="X54" s="4">
        <f t="shared" si="12"/>
        <v>24125</v>
      </c>
      <c r="Y54" s="23">
        <f>SUM(C54:X54)</f>
        <v>151116374.98543176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[1]Wheatland!$BR$169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754273.74714285717</v>
      </c>
      <c r="AB60" s="18">
        <f>[1]Wheatland!$BR$192</f>
        <v>754273.98</v>
      </c>
      <c r="AC60" s="18">
        <f>AB60-AA60</f>
        <v>0.23285714280791581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1117944.26</v>
      </c>
      <c r="AB61" s="18">
        <f>[1]Wheatland!$BR$162</f>
        <v>1117943.8600000001</v>
      </c>
      <c r="AC61" s="18">
        <f>AB61-AA61</f>
        <v>-0.39999999990686774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200000.49555555554</v>
      </c>
      <c r="AB62" s="18">
        <f>[1]Wheatland!$BR$183</f>
        <v>200000</v>
      </c>
      <c r="AC62" s="18">
        <f>AB62-AA62</f>
        <v>-0.49555555553524755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652208.3600000001</v>
      </c>
      <c r="AB63" s="18">
        <f>[1]Wheatland!$BR$199</f>
        <v>652208.46</v>
      </c>
      <c r="AC63" s="18">
        <f>AB63-AA63</f>
        <v>9.9999999860301614E-2</v>
      </c>
    </row>
    <row r="64" spans="1:29" x14ac:dyDescent="0.2">
      <c r="A64" s="4" t="s">
        <v>84</v>
      </c>
      <c r="C64" s="21">
        <f t="shared" ref="C64:Y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3"/>
        <v>300696.58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[1]Wheatland!$AN$215</f>
        <v>36835</v>
      </c>
      <c r="N66" s="9">
        <f>[1]Wheatland!$AP$215</f>
        <v>-36835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36835</v>
      </c>
      <c r="N67" s="21">
        <f t="shared" si="14"/>
        <v>-36835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/>
      <c r="W67" s="21"/>
      <c r="X67" s="21"/>
      <c r="Y67" s="21">
        <f t="shared" si="14"/>
        <v>195452.58000000002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1"/>
      <c r="W75" s="21"/>
      <c r="X75" s="21"/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1603218.4088402581</v>
      </c>
      <c r="N78" s="33">
        <f t="shared" si="16"/>
        <v>5445164.3409659201</v>
      </c>
      <c r="O78" s="33">
        <f t="shared" si="16"/>
        <v>4677967.76</v>
      </c>
      <c r="P78" s="33">
        <f t="shared" si="16"/>
        <v>9183547.0144625977</v>
      </c>
      <c r="Q78" s="33">
        <f t="shared" si="16"/>
        <v>10725413.53932398</v>
      </c>
      <c r="R78" s="33">
        <f t="shared" si="16"/>
        <v>10880344.293946709</v>
      </c>
      <c r="S78" s="33">
        <f t="shared" si="16"/>
        <v>7965580.4850180876</v>
      </c>
      <c r="T78" s="33">
        <f t="shared" si="16"/>
        <v>7479298.3144527674</v>
      </c>
      <c r="U78" s="33">
        <f t="shared" si="16"/>
        <v>16276139.311096884</v>
      </c>
      <c r="V78" s="33"/>
      <c r="W78" s="33"/>
      <c r="X78" s="33"/>
      <c r="Y78" s="33">
        <f t="shared" si="16"/>
        <v>161049584.14088303</v>
      </c>
      <c r="Z78" s="17"/>
    </row>
    <row r="79" spans="1:26" x14ac:dyDescent="0.2">
      <c r="U79"/>
      <c r="V79"/>
      <c r="W79"/>
      <c r="X79"/>
      <c r="Y79" s="47">
        <f>Y78-[1]Wheatland!$BR$232</f>
        <v>2.6154317557811737</v>
      </c>
    </row>
  </sheetData>
  <mergeCells count="1">
    <mergeCell ref="D5:O5"/>
  </mergeCells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2000-01-09T16:13:59Z</cp:lastPrinted>
  <dcterms:created xsi:type="dcterms:W3CDTF">1999-02-09T14:03:00Z</dcterms:created>
  <dcterms:modified xsi:type="dcterms:W3CDTF">2023-09-13T22:18:16Z</dcterms:modified>
</cp:coreProperties>
</file>