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F82951-F1D8-4E8B-80BB-8A92C6E2B282}" xr6:coauthVersionLast="47" xr6:coauthVersionMax="47" xr10:uidLastSave="{00000000-0000-0000-0000-000000000000}"/>
  <bookViews>
    <workbookView xWindow="-120" yWindow="-120" windowWidth="38640" windowHeight="15720" tabRatio="842" firstSheet="1" activeTab="1"/>
  </bookViews>
  <sheets>
    <sheet name="6.5% - Swap" sheetId="4" state="hidden" r:id="rId1"/>
    <sheet name="Brownsville" sheetId="5" r:id="rId2"/>
    <sheet name="Caledonia" sheetId="7" r:id="rId3"/>
    <sheet name="New Albany" sheetId="8" r:id="rId4"/>
    <sheet name="Draw Summary" sheetId="9" r:id="rId5"/>
  </sheets>
  <externalReferences>
    <externalReference r:id="rId6"/>
  </externalReferences>
  <definedNames>
    <definedName name="_xlnm.Print_Area" localSheetId="1">Brownsville!$A$1:$P$62</definedName>
    <definedName name="_xlnm.Print_Area" localSheetId="2">Caledonia!$A$1:$P$63</definedName>
    <definedName name="_xlnm.Print_Area" localSheetId="4">'Draw Summary'!$A$1:$G$62</definedName>
    <definedName name="_xlnm.Print_Area" localSheetId="3">'New Albany'!$A$1:$P$71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P2" i="5"/>
  <c r="P3" i="5"/>
  <c r="P10" i="5"/>
  <c r="Q10" i="5"/>
  <c r="R10" i="5"/>
  <c r="P11" i="5"/>
  <c r="Q11" i="5"/>
  <c r="R11" i="5"/>
  <c r="N12" i="5"/>
  <c r="O12" i="5"/>
  <c r="P12" i="5"/>
  <c r="Q12" i="5"/>
  <c r="R12" i="5"/>
  <c r="G13" i="5"/>
  <c r="O13" i="5"/>
  <c r="P13" i="5"/>
  <c r="Q13" i="5"/>
  <c r="R13" i="5"/>
  <c r="M14" i="5"/>
  <c r="O14" i="5"/>
  <c r="P14" i="5"/>
  <c r="Q14" i="5"/>
  <c r="R14" i="5"/>
  <c r="M15" i="5"/>
  <c r="P15" i="5"/>
  <c r="Q15" i="5"/>
  <c r="R15" i="5"/>
  <c r="P16" i="5"/>
  <c r="Q16" i="5"/>
  <c r="R16" i="5"/>
  <c r="O17" i="5"/>
  <c r="P17" i="5"/>
  <c r="Q17" i="5"/>
  <c r="R17" i="5"/>
  <c r="P18" i="5"/>
  <c r="Q18" i="5"/>
  <c r="R18" i="5"/>
  <c r="G19" i="5"/>
  <c r="P19" i="5"/>
  <c r="Q19" i="5"/>
  <c r="R19" i="5"/>
  <c r="P20" i="5"/>
  <c r="Q20" i="5"/>
  <c r="R20" i="5"/>
  <c r="P21" i="5"/>
  <c r="Q21" i="5"/>
  <c r="R21" i="5"/>
  <c r="C22" i="5"/>
  <c r="P22" i="5"/>
  <c r="Q22" i="5"/>
  <c r="R22" i="5"/>
  <c r="P23" i="5"/>
  <c r="Q23" i="5"/>
  <c r="R23" i="5"/>
  <c r="G24" i="5"/>
  <c r="P24" i="5"/>
  <c r="Q24" i="5"/>
  <c r="R24" i="5"/>
  <c r="E25" i="5"/>
  <c r="G25" i="5"/>
  <c r="M25" i="5"/>
  <c r="P25" i="5"/>
  <c r="Q25" i="5"/>
  <c r="R25" i="5"/>
  <c r="C26" i="5"/>
  <c r="E26" i="5"/>
  <c r="H26" i="5"/>
  <c r="P26" i="5"/>
  <c r="Q26" i="5"/>
  <c r="R26" i="5"/>
  <c r="K27" i="5"/>
  <c r="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30" i="5"/>
  <c r="C32" i="5"/>
  <c r="D32" i="5"/>
  <c r="E32" i="5"/>
  <c r="F32" i="5"/>
  <c r="G32" i="5"/>
  <c r="I32" i="5"/>
  <c r="P32" i="5"/>
  <c r="Q32" i="5"/>
  <c r="R32" i="5"/>
  <c r="G33" i="5"/>
  <c r="P33" i="5"/>
  <c r="Q33" i="5"/>
  <c r="R33" i="5"/>
  <c r="P34" i="5"/>
  <c r="Q34" i="5"/>
  <c r="R34" i="5"/>
  <c r="G35" i="5"/>
  <c r="P35" i="5"/>
  <c r="Q35" i="5"/>
  <c r="R35" i="5"/>
  <c r="P36" i="5"/>
  <c r="Q36" i="5"/>
  <c r="R36" i="5"/>
  <c r="P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3" i="5"/>
  <c r="P45" i="5"/>
  <c r="R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C48" i="5"/>
  <c r="D48" i="5"/>
  <c r="E48" i="5"/>
  <c r="F48" i="5"/>
  <c r="G48" i="5"/>
  <c r="C49" i="5"/>
  <c r="D49" i="5"/>
  <c r="E49" i="5"/>
  <c r="F49" i="5"/>
  <c r="G49" i="5"/>
  <c r="I49" i="5"/>
  <c r="J49" i="5"/>
  <c r="K49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R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D62" i="5"/>
  <c r="D2" i="7"/>
  <c r="P2" i="7"/>
  <c r="P3" i="7"/>
  <c r="P10" i="7"/>
  <c r="Q10" i="7"/>
  <c r="R10" i="7"/>
  <c r="P11" i="7"/>
  <c r="Q11" i="7"/>
  <c r="R11" i="7"/>
  <c r="O12" i="7"/>
  <c r="P12" i="7"/>
  <c r="Q12" i="7"/>
  <c r="R12" i="7"/>
  <c r="O13" i="7"/>
  <c r="P13" i="7"/>
  <c r="Q13" i="7"/>
  <c r="R13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19" i="7"/>
  <c r="Q19" i="7"/>
  <c r="R19" i="7"/>
  <c r="P20" i="7"/>
  <c r="Q20" i="7"/>
  <c r="R20" i="7"/>
  <c r="P21" i="7"/>
  <c r="Q21" i="7"/>
  <c r="R21" i="7"/>
  <c r="C22" i="7"/>
  <c r="P22" i="7"/>
  <c r="Q22" i="7"/>
  <c r="R22" i="7"/>
  <c r="J23" i="7"/>
  <c r="P23" i="7"/>
  <c r="Q23" i="7"/>
  <c r="R23" i="7"/>
  <c r="P24" i="7"/>
  <c r="Q24" i="7"/>
  <c r="R24" i="7"/>
  <c r="C25" i="7"/>
  <c r="E25" i="7"/>
  <c r="P25" i="7"/>
  <c r="Q25" i="7"/>
  <c r="R25" i="7"/>
  <c r="E26" i="7"/>
  <c r="H26" i="7"/>
  <c r="I26" i="7"/>
  <c r="J26" i="7"/>
  <c r="P26" i="7"/>
  <c r="Q26" i="7"/>
  <c r="R26" i="7"/>
  <c r="P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30" i="7"/>
  <c r="C32" i="7"/>
  <c r="D32" i="7"/>
  <c r="E32" i="7"/>
  <c r="F32" i="7"/>
  <c r="G32" i="7"/>
  <c r="P32" i="7"/>
  <c r="Q32" i="7"/>
  <c r="R32" i="7"/>
  <c r="P33" i="7"/>
  <c r="Q33" i="7"/>
  <c r="R33" i="7"/>
  <c r="P34" i="7"/>
  <c r="Q34" i="7"/>
  <c r="R34" i="7"/>
  <c r="G35" i="7"/>
  <c r="H35" i="7"/>
  <c r="P35" i="7"/>
  <c r="Q35" i="7"/>
  <c r="R35" i="7"/>
  <c r="P36" i="7"/>
  <c r="Q36" i="7"/>
  <c r="R36" i="7"/>
  <c r="P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3" i="7"/>
  <c r="P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C48" i="7"/>
  <c r="D48" i="7"/>
  <c r="E48" i="7"/>
  <c r="F48" i="7"/>
  <c r="G48" i="7"/>
  <c r="C49" i="7"/>
  <c r="D49" i="7"/>
  <c r="E49" i="7"/>
  <c r="F49" i="7"/>
  <c r="G49" i="7"/>
  <c r="I49" i="7"/>
  <c r="J49" i="7"/>
  <c r="K49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R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D62" i="7"/>
  <c r="G12" i="9"/>
  <c r="G14" i="9"/>
  <c r="G15" i="9"/>
  <c r="G16" i="9"/>
  <c r="D17" i="9"/>
  <c r="E17" i="9"/>
  <c r="F17" i="9"/>
  <c r="G17" i="9"/>
  <c r="D18" i="9"/>
  <c r="E18" i="9"/>
  <c r="F18" i="9"/>
  <c r="G18" i="9"/>
  <c r="G20" i="9"/>
  <c r="G21" i="9"/>
  <c r="G22" i="9"/>
  <c r="G23" i="9"/>
  <c r="D24" i="9"/>
  <c r="E24" i="9"/>
  <c r="F24" i="9"/>
  <c r="G24" i="9"/>
  <c r="D25" i="9"/>
  <c r="E25" i="9"/>
  <c r="F25" i="9"/>
  <c r="G25" i="9"/>
  <c r="G27" i="9"/>
  <c r="G28" i="9"/>
  <c r="G29" i="9"/>
  <c r="G30" i="9"/>
  <c r="D31" i="9"/>
  <c r="E31" i="9"/>
  <c r="F31" i="9"/>
  <c r="G31" i="9"/>
  <c r="D32" i="9"/>
  <c r="E32" i="9"/>
  <c r="F32" i="9"/>
  <c r="G32" i="9"/>
  <c r="G34" i="9"/>
  <c r="G35" i="9"/>
  <c r="G36" i="9"/>
  <c r="G37" i="9"/>
  <c r="D38" i="9"/>
  <c r="E38" i="9"/>
  <c r="F38" i="9"/>
  <c r="G38" i="9"/>
  <c r="D39" i="9"/>
  <c r="E39" i="9"/>
  <c r="F39" i="9"/>
  <c r="G39" i="9"/>
  <c r="G41" i="9"/>
  <c r="G42" i="9"/>
  <c r="G43" i="9"/>
  <c r="G44" i="9"/>
  <c r="D45" i="9"/>
  <c r="E45" i="9"/>
  <c r="F45" i="9"/>
  <c r="G45" i="9"/>
  <c r="D46" i="9"/>
  <c r="E46" i="9"/>
  <c r="F46" i="9"/>
  <c r="G46" i="9"/>
  <c r="G48" i="9"/>
  <c r="G49" i="9"/>
  <c r="G50" i="9"/>
  <c r="G51" i="9"/>
  <c r="D52" i="9"/>
  <c r="E52" i="9"/>
  <c r="F52" i="9"/>
  <c r="G52" i="9"/>
  <c r="D53" i="9"/>
  <c r="E53" i="9"/>
  <c r="F53" i="9"/>
  <c r="G53" i="9"/>
  <c r="D54" i="9"/>
  <c r="E54" i="9"/>
  <c r="F54" i="9"/>
  <c r="G54" i="9"/>
  <c r="G55" i="9"/>
  <c r="G59" i="9"/>
  <c r="D61" i="9"/>
  <c r="E61" i="9"/>
  <c r="F61" i="9"/>
  <c r="G61" i="9"/>
  <c r="D2" i="8"/>
  <c r="P2" i="8"/>
  <c r="P3" i="8"/>
  <c r="C10" i="8"/>
  <c r="D10" i="8"/>
  <c r="E10" i="8"/>
  <c r="F10" i="8"/>
  <c r="P10" i="8"/>
  <c r="Q10" i="8"/>
  <c r="R10" i="8"/>
  <c r="P11" i="8"/>
  <c r="Q11" i="8"/>
  <c r="R11" i="8"/>
  <c r="C12" i="8"/>
  <c r="D12" i="8"/>
  <c r="F12" i="8"/>
  <c r="G12" i="8"/>
  <c r="O12" i="8"/>
  <c r="P12" i="8"/>
  <c r="Q12" i="8"/>
  <c r="R12" i="8"/>
  <c r="K13" i="8"/>
  <c r="P13" i="8"/>
  <c r="Q13" i="8"/>
  <c r="R13" i="8"/>
  <c r="O14" i="8"/>
  <c r="P14" i="8"/>
  <c r="Q14" i="8"/>
  <c r="R14" i="8"/>
  <c r="P15" i="8"/>
  <c r="Q15" i="8"/>
  <c r="R15" i="8"/>
  <c r="P16" i="8"/>
  <c r="Q16" i="8"/>
  <c r="R16" i="8"/>
  <c r="P17" i="8"/>
  <c r="Q17" i="8"/>
  <c r="R17" i="8"/>
  <c r="P18" i="8"/>
  <c r="Q18" i="8"/>
  <c r="R18" i="8"/>
  <c r="P19" i="8"/>
  <c r="Q19" i="8"/>
  <c r="R19" i="8"/>
  <c r="P20" i="8"/>
  <c r="Q20" i="8"/>
  <c r="R20" i="8"/>
  <c r="P21" i="8"/>
  <c r="Q21" i="8"/>
  <c r="R21" i="8"/>
  <c r="P22" i="8"/>
  <c r="Q22" i="8"/>
  <c r="R22" i="8"/>
  <c r="P23" i="8"/>
  <c r="Q23" i="8"/>
  <c r="R23" i="8"/>
  <c r="P24" i="8"/>
  <c r="Q24" i="8"/>
  <c r="R24" i="8"/>
  <c r="I25" i="8"/>
  <c r="J25" i="8"/>
  <c r="P25" i="8"/>
  <c r="Q25" i="8"/>
  <c r="R25" i="8"/>
  <c r="E26" i="8"/>
  <c r="G26" i="8"/>
  <c r="M26" i="8"/>
  <c r="P26" i="8"/>
  <c r="Q26" i="8"/>
  <c r="R26" i="8"/>
  <c r="I27" i="8"/>
  <c r="L27" i="8"/>
  <c r="M27" i="8"/>
  <c r="P27" i="8"/>
  <c r="Q27" i="8"/>
  <c r="R27" i="8"/>
  <c r="P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1" i="8"/>
  <c r="C33" i="8"/>
  <c r="D33" i="8"/>
  <c r="E33" i="8"/>
  <c r="F33" i="8"/>
  <c r="G33" i="8"/>
  <c r="J33" i="8"/>
  <c r="P33" i="8"/>
  <c r="Q33" i="8"/>
  <c r="R33" i="8"/>
  <c r="P34" i="8"/>
  <c r="Q34" i="8"/>
  <c r="R34" i="8"/>
  <c r="P35" i="8"/>
  <c r="Q35" i="8"/>
  <c r="R35" i="8"/>
  <c r="P36" i="8"/>
  <c r="Q36" i="8"/>
  <c r="R36" i="8"/>
  <c r="P37" i="8"/>
  <c r="Q37" i="8"/>
  <c r="R37" i="8"/>
  <c r="P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4" i="8"/>
  <c r="P46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C49" i="8"/>
  <c r="D49" i="8"/>
  <c r="E49" i="8"/>
  <c r="F49" i="8"/>
  <c r="G49" i="8"/>
  <c r="C50" i="8"/>
  <c r="D50" i="8"/>
  <c r="E50" i="8"/>
  <c r="F50" i="8"/>
  <c r="G50" i="8"/>
  <c r="I50" i="8"/>
  <c r="J50" i="8"/>
  <c r="K50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R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</calcChain>
</file>

<file path=xl/sharedStrings.xml><?xml version="1.0" encoding="utf-8"?>
<sst xmlns="http://schemas.openxmlformats.org/spreadsheetml/2006/main" count="406" uniqueCount="127">
  <si>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</si>
  <si>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</si>
  <si>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</si>
  <si>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</si>
  <si>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</si>
  <si>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</si>
  <si>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</si>
  <si>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</si>
  <si>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</si>
  <si>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</si>
  <si>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</si>
  <si>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</si>
  <si>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</si>
  <si>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</si>
  <si>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</si>
  <si>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</si>
  <si>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</si>
  <si>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</si>
  <si>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</si>
  <si>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</si>
  <si>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</si>
  <si>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</si>
  <si>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</si>
  <si>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</si>
  <si>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</si>
  <si>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</si>
  <si>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</si>
  <si>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</si>
  <si>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</si>
  <si>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</si>
  <si>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</si>
  <si>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</si>
  <si>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</si>
  <si>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</si>
  <si>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</si>
  <si>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</si>
  <si>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</si>
  <si>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</si>
  <si>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</si>
  <si>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</si>
  <si>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</si>
  <si>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</si>
  <si>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</si>
  <si>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</si>
  <si>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</si>
  <si>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</si>
  <si>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</si>
  <si>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</si>
  <si>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</si>
  <si>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</si>
  <si>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</si>
  <si>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</si>
  <si>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</si>
  <si>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</si>
  <si>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</si>
  <si>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</si>
  <si>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</si>
  <si>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</si>
  <si>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</si>
  <si>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</si>
  <si>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</si>
  <si>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</si>
  <si>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</si>
  <si>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</si>
  <si>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</si>
  <si>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</si>
  <si>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</si>
  <si>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</si>
  <si>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</si>
  <si>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</si>
  <si>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</si>
  <si>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</si>
  <si>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</si>
  <si>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Total Project Cost (with Debt Reserve)</t>
  </si>
  <si>
    <t>Total Project Cost (w/o Debt Reserve)</t>
  </si>
  <si>
    <t>Commitment Fee</t>
  </si>
  <si>
    <t>Power Plants - 1999</t>
  </si>
  <si>
    <t>Brownsville, TN</t>
  </si>
  <si>
    <t>( Dev Owner:  Clay Spears)</t>
  </si>
  <si>
    <t>WH 5D's (4ea)</t>
  </si>
  <si>
    <t>CONTINGENCY</t>
  </si>
  <si>
    <t>OTHER</t>
  </si>
  <si>
    <t>Monthly Draw, including accr int and comm fee</t>
  </si>
  <si>
    <t>Cumulative Outstanding Balance</t>
  </si>
  <si>
    <t>Total Cumul Project Cost (w/o Debt Reserve)</t>
  </si>
  <si>
    <t>Total Capital</t>
  </si>
  <si>
    <t>IDC 5.75%  (Actuals through April)</t>
  </si>
  <si>
    <t>Caledonia, MS</t>
  </si>
  <si>
    <t>GE 7EA's (6ea)</t>
  </si>
  <si>
    <t>Blue</t>
  </si>
  <si>
    <t>Actuals</t>
  </si>
  <si>
    <t>New Albany, MS</t>
  </si>
  <si>
    <t>SPARE PARTS</t>
  </si>
  <si>
    <t>IDC Credit on Unused Cash</t>
  </si>
  <si>
    <t>Swap Gain/Loss</t>
  </si>
  <si>
    <t>Power Plants</t>
  </si>
  <si>
    <t>Outstanding Balance Summary</t>
  </si>
  <si>
    <t>Date of</t>
  </si>
  <si>
    <t>Interest</t>
  </si>
  <si>
    <t>Description</t>
  </si>
  <si>
    <t>Funding</t>
  </si>
  <si>
    <t>Rate</t>
  </si>
  <si>
    <t>Brownsville</t>
  </si>
  <si>
    <t>Caledonia</t>
  </si>
  <si>
    <t>New Albany</t>
  </si>
  <si>
    <t>(30day LIBOR</t>
  </si>
  <si>
    <t>+ 75 bps)</t>
  </si>
  <si>
    <t>Initial Funding</t>
  </si>
  <si>
    <t>First Draw</t>
  </si>
  <si>
    <t>Transaction Expenses</t>
  </si>
  <si>
    <t>CM Activity</t>
  </si>
  <si>
    <t>Cumulative O/S balance</t>
  </si>
  <si>
    <t>Second Draw</t>
  </si>
  <si>
    <t>Third Draw</t>
  </si>
  <si>
    <t>Fourth Draw</t>
  </si>
  <si>
    <t>Fifth Draw</t>
  </si>
  <si>
    <t>Total Commitment</t>
  </si>
  <si>
    <t>Remaining balance</t>
  </si>
  <si>
    <t>SWAP</t>
  </si>
  <si>
    <t>Swap</t>
  </si>
  <si>
    <t>Sixth Draw</t>
  </si>
  <si>
    <t>Breakage Costs</t>
  </si>
  <si>
    <t>Payback West LB</t>
  </si>
  <si>
    <t>+ 15 Bps Com Fee (thru 5/21/99 only)</t>
  </si>
  <si>
    <t>Input from WestLB statements for each month's actuals (1/99 - 5/99)</t>
  </si>
  <si>
    <t>Capital</t>
  </si>
  <si>
    <t>Last updated:  Actuals through December 17,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</si>
</sst>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  <numFmt numFmtId="170" formatCode="_(&quot;$&quot;* #,##0_);_(&quot;$&quot;* \(#,##0\);_(&quot;$&quot;* &quot;-&quot;??_);_(@_)"/>
    <numFmt numFmtId="177" formatCode="0.00000%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b/>
      <u val="singleAccounting"/>
      <sz val="11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3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6" fillId="0" borderId="0" xfId="1" applyNumberFormat="1" applyFont="1" applyFill="1" applyBorder="1"/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5" fillId="0" borderId="8" xfId="1" quotePrefix="1" applyNumberFormat="1" applyFont="1" applyFill="1" applyBorder="1" applyAlignment="1">
      <alignment horizontal="center"/>
    </xf>
    <xf numFmtId="164" fontId="5" fillId="0" borderId="9" xfId="1" applyNumberFormat="1" applyFont="1" applyFill="1" applyBorder="1"/>
    <xf numFmtId="164" fontId="6" fillId="0" borderId="0" xfId="1" quotePrefix="1" applyNumberFormat="1" applyFont="1" applyFill="1"/>
    <xf numFmtId="164" fontId="10" fillId="0" borderId="0" xfId="1" applyNumberFormat="1" applyFont="1" applyFill="1" applyAlignment="1">
      <alignment horizontal="center"/>
    </xf>
    <xf numFmtId="10" fontId="11" fillId="0" borderId="0" xfId="3" applyNumberFormat="1" applyFont="1" applyFill="1"/>
    <xf numFmtId="164" fontId="11" fillId="0" borderId="0" xfId="1" applyNumberFormat="1" applyFont="1" applyFill="1"/>
    <xf numFmtId="164" fontId="11" fillId="2" borderId="0" xfId="1" applyNumberFormat="1" applyFont="1" applyFill="1"/>
    <xf numFmtId="164" fontId="0" fillId="0" borderId="0" xfId="0" applyNumberFormat="1"/>
    <xf numFmtId="0" fontId="0" fillId="0" borderId="1" xfId="0" applyBorder="1"/>
    <xf numFmtId="164" fontId="12" fillId="0" borderId="0" xfId="1" applyNumberFormat="1" applyFont="1" applyFill="1"/>
    <xf numFmtId="164" fontId="11" fillId="0" borderId="4" xfId="1" applyNumberFormat="1" applyFont="1" applyFill="1" applyBorder="1"/>
    <xf numFmtId="164" fontId="12" fillId="0" borderId="0" xfId="1" applyNumberFormat="1" applyFont="1" applyFill="1" applyBorder="1"/>
    <xf numFmtId="164" fontId="11" fillId="0" borderId="0" xfId="1" applyNumberFormat="1" applyFont="1" applyFill="1" applyBorder="1"/>
    <xf numFmtId="164" fontId="11" fillId="0" borderId="6" xfId="1" applyNumberFormat="1" applyFont="1" applyFill="1" applyBorder="1"/>
    <xf numFmtId="164" fontId="11" fillId="0" borderId="9" xfId="1" applyNumberFormat="1" applyFont="1" applyFill="1" applyBorder="1"/>
    <xf numFmtId="10" fontId="11" fillId="2" borderId="0" xfId="3" applyNumberFormat="1" applyFont="1" applyFill="1"/>
    <xf numFmtId="177" fontId="1" fillId="0" borderId="0" xfId="3" applyNumberFormat="1"/>
    <xf numFmtId="43" fontId="1" fillId="0" borderId="0" xfId="1"/>
    <xf numFmtId="0" fontId="5" fillId="0" borderId="0" xfId="0" applyFont="1" applyAlignment="1">
      <alignment horizontal="center"/>
    </xf>
    <xf numFmtId="43" fontId="5" fillId="0" borderId="0" xfId="1" applyFont="1" applyAlignment="1">
      <alignment horizontal="center"/>
    </xf>
    <xf numFmtId="177" fontId="5" fillId="0" borderId="0" xfId="3" applyNumberFormat="1" applyFont="1" applyAlignment="1">
      <alignment horizontal="center"/>
    </xf>
    <xf numFmtId="0" fontId="13" fillId="0" borderId="0" xfId="0" applyFont="1" applyAlignment="1">
      <alignment horizontal="center"/>
    </xf>
    <xf numFmtId="177" fontId="13" fillId="0" borderId="0" xfId="3" applyNumberFormat="1" applyFont="1" applyAlignment="1">
      <alignment horizontal="center"/>
    </xf>
    <xf numFmtId="43" fontId="13" fillId="0" borderId="0" xfId="1" applyFont="1" applyAlignment="1">
      <alignment horizontal="center"/>
    </xf>
    <xf numFmtId="177" fontId="1" fillId="0" borderId="0" xfId="3" applyNumberFormat="1" applyFont="1" applyAlignment="1">
      <alignment horizontal="center"/>
    </xf>
    <xf numFmtId="177" fontId="1" fillId="0" borderId="0" xfId="3" quotePrefix="1" applyNumberFormat="1" applyFont="1" applyAlignment="1">
      <alignment horizontal="center"/>
    </xf>
    <xf numFmtId="177" fontId="1" fillId="0" borderId="0" xfId="3" quotePrefix="1" applyNumberFormat="1" applyFont="1"/>
    <xf numFmtId="14" fontId="0" fillId="0" borderId="0" xfId="0" applyNumberFormat="1"/>
    <xf numFmtId="43" fontId="1" fillId="0" borderId="4" xfId="1" applyBorder="1"/>
    <xf numFmtId="44" fontId="1" fillId="0" borderId="0" xfId="2"/>
    <xf numFmtId="44" fontId="1" fillId="0" borderId="10" xfId="2" applyBorder="1"/>
    <xf numFmtId="164" fontId="11" fillId="0" borderId="0" xfId="1" applyNumberFormat="1" applyFont="1" applyFill="1" applyAlignment="1">
      <alignment horizontal="center"/>
    </xf>
    <xf numFmtId="0" fontId="14" fillId="0" borderId="0" xfId="0" applyFont="1"/>
    <xf numFmtId="14" fontId="14" fillId="0" borderId="0" xfId="0" applyNumberFormat="1" applyFont="1"/>
    <xf numFmtId="177" fontId="14" fillId="0" borderId="0" xfId="3" applyNumberFormat="1" applyFont="1"/>
    <xf numFmtId="164" fontId="5" fillId="0" borderId="0" xfId="1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  <xf numFmtId="164" fontId="10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0" fillId="0" borderId="0" xfId="0" applyBorder="1"/>
    <xf numFmtId="170" fontId="5" fillId="0" borderId="0" xfId="2" applyNumberFormat="1" applyFont="1" applyFill="1" applyBorder="1"/>
    <xf numFmtId="10" fontId="15" fillId="0" borderId="0" xfId="3" applyNumberFormat="1" applyFont="1" applyFill="1"/>
    <xf numFmtId="164" fontId="5" fillId="0" borderId="8" xfId="1" quotePrefix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TVA%20Plants/TVA%20Weekly%20Summary/TVA%20Wkly%20Anal%20-%201221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Brownsville"/>
      <sheetName val="Caledonia"/>
      <sheetName val="NewAlbany"/>
      <sheetName val="Parts_Refurb $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8">
          <cell r="AY18">
            <v>72614405.800000012</v>
          </cell>
        </row>
        <row r="31">
          <cell r="AY31">
            <v>8885247.1400000006</v>
          </cell>
        </row>
        <row r="41">
          <cell r="AY41">
            <v>734722.72</v>
          </cell>
        </row>
        <row r="106">
          <cell r="AY106">
            <v>32944503.699999999</v>
          </cell>
        </row>
        <row r="113">
          <cell r="AY113">
            <v>698289.4</v>
          </cell>
        </row>
        <row r="115">
          <cell r="AY115">
            <v>1317746.81</v>
          </cell>
        </row>
        <row r="120">
          <cell r="AY120">
            <v>461440.33</v>
          </cell>
        </row>
        <row r="130">
          <cell r="AY130">
            <v>865369.27999999991</v>
          </cell>
        </row>
        <row r="132">
          <cell r="AY132">
            <v>0</v>
          </cell>
        </row>
        <row r="139">
          <cell r="AY139">
            <v>1972489.0119999999</v>
          </cell>
        </row>
        <row r="141">
          <cell r="AY141">
            <v>225949</v>
          </cell>
        </row>
        <row r="143">
          <cell r="AY143">
            <v>164348</v>
          </cell>
        </row>
        <row r="145">
          <cell r="AY145">
            <v>35060.42</v>
          </cell>
        </row>
        <row r="147">
          <cell r="AY147">
            <v>4408047</v>
          </cell>
        </row>
        <row r="148">
          <cell r="AY148">
            <v>-123964</v>
          </cell>
        </row>
        <row r="149">
          <cell r="AY149">
            <v>23205.300000000003</v>
          </cell>
        </row>
        <row r="150">
          <cell r="AY150">
            <v>-15667.939999999999</v>
          </cell>
        </row>
        <row r="159">
          <cell r="AY159">
            <v>1103769.7233333334</v>
          </cell>
        </row>
        <row r="161">
          <cell r="AY161">
            <v>69937</v>
          </cell>
        </row>
        <row r="179">
          <cell r="AY179">
            <v>555315.14000000013</v>
          </cell>
        </row>
        <row r="192">
          <cell r="AY192">
            <v>766416.75</v>
          </cell>
        </row>
        <row r="194">
          <cell r="AY194">
            <v>228051.11</v>
          </cell>
        </row>
        <row r="197">
          <cell r="AY197">
            <v>127934680.69533333</v>
          </cell>
        </row>
      </sheetData>
      <sheetData sheetId="6">
        <row r="21">
          <cell r="AY21">
            <v>101629107.92</v>
          </cell>
        </row>
        <row r="34">
          <cell r="AY34">
            <v>10286721</v>
          </cell>
        </row>
        <row r="44">
          <cell r="AY44">
            <v>785954.21</v>
          </cell>
        </row>
        <row r="117">
          <cell r="AY117">
            <v>29262849.149999999</v>
          </cell>
        </row>
        <row r="123">
          <cell r="AY123">
            <v>568579.43999999994</v>
          </cell>
        </row>
        <row r="125">
          <cell r="AY125">
            <v>787800</v>
          </cell>
        </row>
        <row r="136">
          <cell r="AY136">
            <v>557693.32999999996</v>
          </cell>
        </row>
        <row r="138">
          <cell r="AY138">
            <v>237352.65</v>
          </cell>
        </row>
        <row r="141">
          <cell r="AY141">
            <v>981000</v>
          </cell>
        </row>
        <row r="148">
          <cell r="AY148">
            <v>3507819.8760000002</v>
          </cell>
        </row>
        <row r="150">
          <cell r="AY150">
            <v>99999.999999999942</v>
          </cell>
        </row>
        <row r="152">
          <cell r="AY152">
            <v>224923</v>
          </cell>
        </row>
        <row r="154">
          <cell r="AY154">
            <v>53203.58</v>
          </cell>
        </row>
        <row r="156">
          <cell r="AY156">
            <v>3172038.28</v>
          </cell>
        </row>
        <row r="157">
          <cell r="AY157">
            <v>-426988</v>
          </cell>
        </row>
        <row r="158">
          <cell r="AY158">
            <v>40258</v>
          </cell>
        </row>
        <row r="159">
          <cell r="AY159">
            <v>-10399.469999999999</v>
          </cell>
        </row>
        <row r="169">
          <cell r="AY169">
            <v>1285019.7133333331</v>
          </cell>
        </row>
        <row r="171">
          <cell r="AY171">
            <v>94021</v>
          </cell>
        </row>
        <row r="184">
          <cell r="AY184">
            <v>741635.96</v>
          </cell>
        </row>
        <row r="192">
          <cell r="AY192">
            <v>581382.25</v>
          </cell>
        </row>
        <row r="194">
          <cell r="AY194">
            <v>136036.07</v>
          </cell>
        </row>
        <row r="198">
          <cell r="AY198">
            <v>154596009.9593333</v>
          </cell>
        </row>
      </sheetData>
      <sheetData sheetId="7">
        <row r="25">
          <cell r="AY25">
            <v>82754588.730000004</v>
          </cell>
        </row>
        <row r="27">
          <cell r="AY27">
            <v>7891256.5300000003</v>
          </cell>
        </row>
        <row r="41">
          <cell r="AY41">
            <v>11336875.91</v>
          </cell>
        </row>
        <row r="51">
          <cell r="AY51">
            <v>1199679</v>
          </cell>
        </row>
        <row r="141">
          <cell r="AY141">
            <v>33531556.170000002</v>
          </cell>
        </row>
        <row r="147">
          <cell r="AY147">
            <v>786608.59</v>
          </cell>
        </row>
        <row r="149">
          <cell r="AY149">
            <v>813050</v>
          </cell>
        </row>
        <row r="153">
          <cell r="AY153">
            <v>172609.34</v>
          </cell>
        </row>
        <row r="157">
          <cell r="AY157">
            <v>354903.46</v>
          </cell>
        </row>
        <row r="159">
          <cell r="AY159">
            <v>0</v>
          </cell>
        </row>
        <row r="166">
          <cell r="AY166">
            <v>2150806.6639999999</v>
          </cell>
        </row>
        <row r="168">
          <cell r="AY168">
            <v>100000</v>
          </cell>
        </row>
        <row r="170">
          <cell r="AY170">
            <v>326527</v>
          </cell>
        </row>
        <row r="172">
          <cell r="AY172">
            <v>63623.9</v>
          </cell>
        </row>
        <row r="174">
          <cell r="AY174">
            <v>4163904.83</v>
          </cell>
        </row>
        <row r="175">
          <cell r="AY175">
            <v>-159283</v>
          </cell>
        </row>
        <row r="176">
          <cell r="AY176">
            <v>24072.18</v>
          </cell>
        </row>
        <row r="177">
          <cell r="AY177">
            <v>-15668</v>
          </cell>
        </row>
        <row r="189">
          <cell r="AY189">
            <v>1153769.7033333334</v>
          </cell>
        </row>
        <row r="191">
          <cell r="AY191">
            <v>62709.15</v>
          </cell>
        </row>
        <row r="205">
          <cell r="AY205">
            <v>638181.84999999986</v>
          </cell>
        </row>
        <row r="214">
          <cell r="AY214">
            <v>538966.38</v>
          </cell>
        </row>
        <row r="216">
          <cell r="AY216">
            <v>375015.74</v>
          </cell>
        </row>
        <row r="220">
          <cell r="AY220">
            <v>148263753.12733331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Q10" sqref="Q10"/>
    </sheetView>
  </sheetViews>
  <sheetFormatPr defaultRowHeight="12.75" x14ac:dyDescent="0.2"/>
  <cols>
    <col min="1" max="1" width="32.5703125" style="18" customWidth="1"/>
    <col min="2" max="2" width="1.7109375" style="18" customWidth="1"/>
    <col min="3" max="3" width="13.85546875" style="4" customWidth="1"/>
    <col min="4" max="4" width="14" style="18" customWidth="1"/>
    <col min="5" max="5" width="13.85546875" style="18" customWidth="1"/>
    <col min="6" max="6" width="12.85546875" style="18" customWidth="1"/>
    <col min="7" max="10" width="13.5703125" style="18" customWidth="1"/>
    <col min="11" max="11" width="14.28515625" style="18" bestFit="1" customWidth="1"/>
    <col min="12" max="12" width="13.5703125" style="18" customWidth="1"/>
    <col min="13" max="13" width="15.42578125" style="18" customWidth="1"/>
    <col min="14" max="14" width="14.28515625" style="18" bestFit="1" customWidth="1"/>
    <col min="15" max="16" width="13.85546875" style="18" customWidth="1"/>
    <col min="17" max="17" width="13.5703125" style="18" customWidth="1"/>
    <col min="18" max="18" width="14.5703125" style="18" customWidth="1"/>
    <col min="19" max="19" width="13.7109375" style="18" customWidth="1"/>
    <col min="20" max="20" width="14.28515625" style="18" bestFit="1" customWidth="1"/>
    <col min="21" max="21" width="14.5703125" style="18" bestFit="1" customWidth="1"/>
    <col min="22" max="22" width="18.5703125" style="4" customWidth="1"/>
    <col min="23" max="23" width="32.7109375" style="18" customWidth="1"/>
    <col min="24" max="16384" width="9.140625" style="18"/>
  </cols>
  <sheetData>
    <row r="1" spans="1:23" s="2" customFormat="1" ht="15.75" x14ac:dyDescent="0.25">
      <c r="A1" s="1" t="s">
        <v>0</v>
      </c>
    </row>
    <row r="2" spans="1:23" s="2" customFormat="1" ht="15.75" x14ac:dyDescent="0.25">
      <c r="A2" s="1" t="s">
        <v>1</v>
      </c>
      <c r="D2" s="1" t="s">
        <v>59</v>
      </c>
      <c r="V2" s="25" t="str">
        <f ca="1">CELL("filename")</f>
        <v>O:\Fin_Ops\Engysvc\PowerPlants\TVA Plants\TVA Draw Schedules\[TVADraw122199.xls]Brownsville</v>
      </c>
    </row>
    <row r="3" spans="1:23" s="2" customFormat="1" ht="15.75" x14ac:dyDescent="0.25">
      <c r="A3" s="1" t="s">
        <v>2</v>
      </c>
      <c r="F3" s="3"/>
      <c r="V3" s="24">
        <f ca="1">NOW()</f>
        <v>36515.443810763885</v>
      </c>
    </row>
    <row r="4" spans="1:23" x14ac:dyDescent="0.2">
      <c r="C4" s="12"/>
    </row>
    <row r="5" spans="1:23" s="6" customFormat="1" x14ac:dyDescent="0.2">
      <c r="A5" s="5"/>
      <c r="C5" s="7">
        <v>1998</v>
      </c>
      <c r="D5" s="75" t="s">
        <v>3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 t="s">
        <v>4</v>
      </c>
      <c r="Q5" s="75"/>
      <c r="R5" s="75"/>
      <c r="S5" s="75"/>
      <c r="T5" s="75"/>
      <c r="U5" s="75"/>
      <c r="V5" s="75"/>
    </row>
    <row r="6" spans="1:23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">
      <c r="A7" s="5" t="s">
        <v>43</v>
      </c>
      <c r="V7" s="10"/>
      <c r="W7"/>
    </row>
    <row r="8" spans="1:23" s="6" customFormat="1" x14ac:dyDescent="0.2">
      <c r="A8" s="5" t="s">
        <v>60</v>
      </c>
      <c r="V8" s="10"/>
      <c r="W8"/>
    </row>
    <row r="9" spans="1:23" x14ac:dyDescent="0.2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">
      <c r="A27" s="17" t="s">
        <v>64</v>
      </c>
      <c r="V27" s="16">
        <f>+V25/C39/1000</f>
        <v>348.37529999999987</v>
      </c>
      <c r="W27" s="20"/>
    </row>
    <row r="28" spans="1:23" x14ac:dyDescent="0.2">
      <c r="V28" s="11"/>
    </row>
    <row r="29" spans="1:23" x14ac:dyDescent="0.2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">
      <c r="A37" s="17" t="s">
        <v>64</v>
      </c>
      <c r="V37" s="16">
        <f>+V35/C39/1000</f>
        <v>382.79723341400273</v>
      </c>
    </row>
    <row r="38" spans="1:23" s="4" customFormat="1" x14ac:dyDescent="0.2">
      <c r="A38" s="8" t="s">
        <v>72</v>
      </c>
      <c r="C38" s="12">
        <v>6.5000000000000002E-2</v>
      </c>
      <c r="V38" s="11"/>
    </row>
    <row r="39" spans="1:23" s="4" customFormat="1" x14ac:dyDescent="0.2">
      <c r="A39" s="8"/>
      <c r="C39" s="4">
        <v>600</v>
      </c>
      <c r="D39" s="4" t="s">
        <v>66</v>
      </c>
      <c r="V39" s="11"/>
    </row>
    <row r="40" spans="1:23" x14ac:dyDescent="0.2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">
      <c r="A41" s="8"/>
      <c r="C41" s="12"/>
      <c r="V41" s="11"/>
    </row>
    <row r="42" spans="1:23" x14ac:dyDescent="0.2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">
      <c r="A44" s="5" t="s">
        <v>34</v>
      </c>
      <c r="V44" s="11"/>
    </row>
    <row r="45" spans="1:23" x14ac:dyDescent="0.2">
      <c r="A45" s="5" t="s">
        <v>61</v>
      </c>
      <c r="V45" s="11"/>
    </row>
    <row r="46" spans="1:23" x14ac:dyDescent="0.2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">
      <c r="A66" s="17" t="s">
        <v>64</v>
      </c>
      <c r="V66" s="16">
        <f>+V64/C78/1000</f>
        <v>283.28833402777769</v>
      </c>
      <c r="W66" s="20"/>
    </row>
    <row r="67" spans="1:23" x14ac:dyDescent="0.2">
      <c r="V67" s="11"/>
    </row>
    <row r="68" spans="1:23" x14ac:dyDescent="0.2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">
      <c r="V76" s="16">
        <f>+V74/C78/1000</f>
        <v>317.59873981275848</v>
      </c>
    </row>
    <row r="77" spans="1:23" s="4" customFormat="1" x14ac:dyDescent="0.2">
      <c r="A77" s="8" t="s">
        <v>72</v>
      </c>
      <c r="C77" s="12">
        <v>6.5000000000000002E-2</v>
      </c>
      <c r="V77" s="11"/>
    </row>
    <row r="78" spans="1:23" s="4" customFormat="1" x14ac:dyDescent="0.2">
      <c r="A78" s="17" t="s">
        <v>64</v>
      </c>
      <c r="C78" s="4">
        <v>480</v>
      </c>
      <c r="D78" s="4" t="s">
        <v>66</v>
      </c>
      <c r="V78" s="11"/>
    </row>
    <row r="79" spans="1:23" x14ac:dyDescent="0.2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">
      <c r="A80" s="8"/>
      <c r="C80" s="12"/>
      <c r="V80" s="11"/>
    </row>
    <row r="81" spans="1:23" x14ac:dyDescent="0.2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">
      <c r="V82" s="11"/>
    </row>
    <row r="83" spans="1:23" x14ac:dyDescent="0.2">
      <c r="A83" s="4" t="s">
        <v>37</v>
      </c>
      <c r="V83" s="11"/>
    </row>
    <row r="84" spans="1:23" x14ac:dyDescent="0.2">
      <c r="A84" s="5" t="s">
        <v>62</v>
      </c>
      <c r="V84" s="11"/>
    </row>
    <row r="85" spans="1:23" x14ac:dyDescent="0.2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">
      <c r="A103" s="17" t="s">
        <v>64</v>
      </c>
      <c r="V103" s="16">
        <f>+V101/C115/1000</f>
        <v>285.16307826086955</v>
      </c>
      <c r="W103" s="20"/>
    </row>
    <row r="104" spans="1:23" x14ac:dyDescent="0.2">
      <c r="V104" s="11"/>
    </row>
    <row r="105" spans="1:23" x14ac:dyDescent="0.2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">
      <c r="V113" s="16">
        <f>+V111/C115/1000</f>
        <v>319.81114317880537</v>
      </c>
    </row>
    <row r="114" spans="1:23" s="4" customFormat="1" x14ac:dyDescent="0.2">
      <c r="A114" s="8" t="s">
        <v>72</v>
      </c>
      <c r="C114" s="12">
        <v>6.5000000000000002E-2</v>
      </c>
      <c r="V114" s="11"/>
    </row>
    <row r="115" spans="1:23" s="4" customFormat="1" x14ac:dyDescent="0.2">
      <c r="A115" s="17" t="s">
        <v>64</v>
      </c>
      <c r="C115" s="4">
        <v>460</v>
      </c>
      <c r="D115" s="4" t="s">
        <v>66</v>
      </c>
      <c r="V115" s="11"/>
    </row>
    <row r="116" spans="1:23" x14ac:dyDescent="0.2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">
      <c r="A117" s="8"/>
      <c r="C117" s="12"/>
      <c r="V117" s="11"/>
    </row>
    <row r="118" spans="1:23" x14ac:dyDescent="0.2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3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3"/>
  <sheetViews>
    <sheetView tabSelected="1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D3" sqref="D3"/>
    </sheetView>
  </sheetViews>
  <sheetFormatPr defaultRowHeight="12.75" x14ac:dyDescent="0.2"/>
  <cols>
    <col min="1" max="1" width="43.85546875" style="18" customWidth="1"/>
    <col min="2" max="2" width="1.7109375" style="18" customWidth="1"/>
    <col min="3" max="3" width="13.140625" style="4" customWidth="1"/>
    <col min="4" max="4" width="15" style="18" customWidth="1"/>
    <col min="5" max="5" width="12.85546875" style="18" customWidth="1"/>
    <col min="6" max="6" width="13.28515625" style="18" customWidth="1"/>
    <col min="7" max="7" width="12.28515625" style="18" bestFit="1" customWidth="1"/>
    <col min="8" max="8" width="14.140625" style="18" customWidth="1"/>
    <col min="9" max="9" width="14" style="18" customWidth="1"/>
    <col min="10" max="10" width="13.42578125" style="18" customWidth="1"/>
    <col min="11" max="11" width="13.5703125" style="18" customWidth="1"/>
    <col min="12" max="12" width="14.42578125" style="18" customWidth="1"/>
    <col min="13" max="14" width="14.28515625" style="18" customWidth="1"/>
    <col min="15" max="15" width="14.7109375" style="18" customWidth="1"/>
    <col min="16" max="16" width="14.42578125" style="4" customWidth="1"/>
    <col min="17" max="17" width="12.28515625" style="18" bestFit="1" customWidth="1"/>
    <col min="18" max="18" width="14.140625" style="18" customWidth="1"/>
    <col min="19" max="16384" width="9.140625" style="18"/>
  </cols>
  <sheetData>
    <row r="1" spans="1:18" s="2" customFormat="1" ht="15.75" x14ac:dyDescent="0.25">
      <c r="A1" s="1" t="s">
        <v>0</v>
      </c>
    </row>
    <row r="2" spans="1:18" s="2" customFormat="1" ht="15.75" x14ac:dyDescent="0.25">
      <c r="A2" s="1" t="s">
        <v>1</v>
      </c>
      <c r="D2" s="1" t="s">
        <v>126</v>
      </c>
      <c r="P2" s="25" t="str">
        <f ca="1">CELL("filename")</f>
        <v>O:\Fin_Ops\Engysvc\PowerPlants\TVA Plants\TVA Draw Schedules\[TVADraw122199.xls]Brownsville</v>
      </c>
    </row>
    <row r="3" spans="1:18" s="2" customFormat="1" ht="15.75" x14ac:dyDescent="0.25">
      <c r="A3" s="1" t="s">
        <v>76</v>
      </c>
      <c r="D3" s="26"/>
      <c r="F3" s="3"/>
      <c r="P3" s="24">
        <f ca="1">NOW()</f>
        <v>36515.443810763885</v>
      </c>
    </row>
    <row r="4" spans="1:18" ht="15" x14ac:dyDescent="0.2">
      <c r="C4" s="12"/>
      <c r="D4" s="27"/>
    </row>
    <row r="5" spans="1:18" s="6" customFormat="1" x14ac:dyDescent="0.2">
      <c r="A5" s="5"/>
      <c r="C5" s="7">
        <v>1998</v>
      </c>
      <c r="D5" s="31"/>
      <c r="E5" s="31"/>
      <c r="F5" s="31"/>
      <c r="G5" s="31"/>
      <c r="H5" s="31"/>
      <c r="I5" s="31" t="s">
        <v>3</v>
      </c>
      <c r="J5" s="31"/>
      <c r="K5" s="31"/>
      <c r="L5" s="31"/>
      <c r="M5" s="31"/>
      <c r="N5" s="31"/>
      <c r="O5" s="31"/>
      <c r="P5" s="31"/>
    </row>
    <row r="6" spans="1:1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14" t="s">
        <v>5</v>
      </c>
    </row>
    <row r="7" spans="1:18" s="6" customFormat="1" ht="19.5" x14ac:dyDescent="0.55000000000000004">
      <c r="A7" s="34" t="s">
        <v>125</v>
      </c>
      <c r="M7" s="62"/>
      <c r="P7" s="10"/>
    </row>
    <row r="8" spans="1:18" s="6" customFormat="1" x14ac:dyDescent="0.2">
      <c r="A8" s="5" t="s">
        <v>77</v>
      </c>
      <c r="G8" s="62"/>
      <c r="L8" s="62"/>
      <c r="M8" s="62"/>
      <c r="N8" s="62"/>
      <c r="P8" s="10"/>
    </row>
    <row r="9" spans="1:18" s="6" customFormat="1" x14ac:dyDescent="0.2">
      <c r="A9" s="5" t="s">
        <v>78</v>
      </c>
      <c r="G9" s="62"/>
      <c r="L9" s="62"/>
      <c r="M9" s="62"/>
      <c r="N9" s="62"/>
      <c r="P9" s="10"/>
    </row>
    <row r="10" spans="1:18" x14ac:dyDescent="0.2">
      <c r="A10" s="17" t="s">
        <v>79</v>
      </c>
      <c r="C10" s="36">
        <v>58899539</v>
      </c>
      <c r="D10" s="40">
        <v>48600</v>
      </c>
      <c r="E10" s="40">
        <v>3567810</v>
      </c>
      <c r="F10" s="40">
        <v>3342088</v>
      </c>
      <c r="G10" s="40">
        <v>338722</v>
      </c>
      <c r="H10" s="40">
        <v>840995</v>
      </c>
      <c r="I10" s="40">
        <v>276019</v>
      </c>
      <c r="J10" s="40">
        <v>136426</v>
      </c>
      <c r="K10" s="40">
        <v>3337741</v>
      </c>
      <c r="L10" s="40">
        <v>172832</v>
      </c>
      <c r="M10" s="40">
        <v>16019</v>
      </c>
      <c r="N10" s="40">
        <v>0</v>
      </c>
      <c r="O10" s="8">
        <v>1637615</v>
      </c>
      <c r="P10" s="11">
        <f t="shared" ref="P10:P28" si="0">SUM(C10:O10)</f>
        <v>72614406</v>
      </c>
      <c r="Q10" s="18">
        <f>+[1]Brownsville!AY18</f>
        <v>72614405.800000012</v>
      </c>
      <c r="R10" s="18">
        <f>+Q10-P10</f>
        <v>-0.19999998807907104</v>
      </c>
    </row>
    <row r="11" spans="1:18" x14ac:dyDescent="0.2">
      <c r="A11" s="17" t="s">
        <v>19</v>
      </c>
      <c r="C11" s="36">
        <v>2998569</v>
      </c>
      <c r="D11" s="40">
        <v>2951629</v>
      </c>
      <c r="E11" s="40">
        <v>137615</v>
      </c>
      <c r="F11" s="8">
        <v>0</v>
      </c>
      <c r="G11" s="40">
        <v>1229873</v>
      </c>
      <c r="H11" s="40">
        <v>747040</v>
      </c>
      <c r="I11" s="40">
        <v>692016</v>
      </c>
      <c r="J11" s="40">
        <v>174000</v>
      </c>
      <c r="K11" s="40">
        <v>0</v>
      </c>
      <c r="L11" s="40">
        <v>227783</v>
      </c>
      <c r="M11" s="40">
        <v>0</v>
      </c>
      <c r="N11" s="40">
        <v>0</v>
      </c>
      <c r="O11" s="18">
        <v>-273278</v>
      </c>
      <c r="P11" s="11">
        <f t="shared" si="0"/>
        <v>8885247</v>
      </c>
      <c r="Q11" s="18">
        <f>+[1]Brownsville!AY31</f>
        <v>8885247.1400000006</v>
      </c>
      <c r="R11" s="18">
        <f t="shared" ref="R11:R26" si="1">+Q11-P11</f>
        <v>0.14000000059604645</v>
      </c>
    </row>
    <row r="12" spans="1:18" x14ac:dyDescent="0.2">
      <c r="A12" s="17" t="s">
        <v>20</v>
      </c>
      <c r="C12" s="36">
        <v>182376</v>
      </c>
      <c r="D12" s="40">
        <v>0</v>
      </c>
      <c r="E12" s="40">
        <v>0</v>
      </c>
      <c r="F12" s="8">
        <v>0</v>
      </c>
      <c r="G12" s="40">
        <v>0</v>
      </c>
      <c r="H12" s="40">
        <v>0</v>
      </c>
      <c r="I12" s="40">
        <v>324238</v>
      </c>
      <c r="J12" s="40">
        <v>125335</v>
      </c>
      <c r="K12" s="40">
        <v>30644</v>
      </c>
      <c r="L12" s="40">
        <v>0</v>
      </c>
      <c r="M12" s="40">
        <v>21103</v>
      </c>
      <c r="N12" s="40">
        <f>58187-31431+38249-22549-1</f>
        <v>42455</v>
      </c>
      <c r="O12" s="18">
        <f>8571+1</f>
        <v>8572</v>
      </c>
      <c r="P12" s="11">
        <f t="shared" si="0"/>
        <v>734723</v>
      </c>
      <c r="Q12" s="18">
        <f>+[1]Brownsville!AY41</f>
        <v>734722.72</v>
      </c>
      <c r="R12" s="18">
        <f t="shared" si="1"/>
        <v>-0.28000000002793968</v>
      </c>
    </row>
    <row r="13" spans="1:18" x14ac:dyDescent="0.2">
      <c r="A13" s="17" t="s">
        <v>21</v>
      </c>
      <c r="C13" s="36">
        <v>1415805</v>
      </c>
      <c r="D13" s="40">
        <v>3042655</v>
      </c>
      <c r="E13" s="40">
        <v>1851195</v>
      </c>
      <c r="F13" s="40">
        <v>3966412</v>
      </c>
      <c r="G13" s="40">
        <f>3055350+54996+12907-1641480</f>
        <v>1481773</v>
      </c>
      <c r="H13" s="40">
        <v>4260335</v>
      </c>
      <c r="I13" s="40">
        <v>4701685</v>
      </c>
      <c r="J13" s="40">
        <v>4762777</v>
      </c>
      <c r="K13" s="40">
        <v>4478140</v>
      </c>
      <c r="L13" s="40">
        <v>983532</v>
      </c>
      <c r="M13" s="40">
        <v>775246</v>
      </c>
      <c r="N13" s="40">
        <v>287383</v>
      </c>
      <c r="O13" s="18">
        <f>1256989-837423+822996-304996</f>
        <v>937566</v>
      </c>
      <c r="P13" s="11">
        <f t="shared" si="0"/>
        <v>32944504</v>
      </c>
      <c r="Q13" s="18">
        <f>+[1]Brownsville!AY106</f>
        <v>32944503.699999999</v>
      </c>
      <c r="R13" s="18">
        <f t="shared" si="1"/>
        <v>-0.30000000074505806</v>
      </c>
    </row>
    <row r="14" spans="1:18" x14ac:dyDescent="0.2">
      <c r="A14" s="17" t="s">
        <v>42</v>
      </c>
      <c r="C14" s="36">
        <v>6111</v>
      </c>
      <c r="D14" s="40">
        <v>25337</v>
      </c>
      <c r="E14" s="40">
        <v>0</v>
      </c>
      <c r="F14" s="8">
        <v>0</v>
      </c>
      <c r="G14" s="40">
        <v>74417</v>
      </c>
      <c r="H14" s="40">
        <v>173681</v>
      </c>
      <c r="I14" s="40">
        <v>225874</v>
      </c>
      <c r="J14" s="40">
        <v>95732</v>
      </c>
      <c r="K14" s="40">
        <v>68947</v>
      </c>
      <c r="L14" s="40">
        <v>26337</v>
      </c>
      <c r="M14" s="40">
        <f>-1+1023+57</f>
        <v>1079</v>
      </c>
      <c r="N14" s="40">
        <v>775</v>
      </c>
      <c r="O14" s="18">
        <f>-2+1</f>
        <v>-1</v>
      </c>
      <c r="P14" s="11">
        <f t="shared" si="0"/>
        <v>698289</v>
      </c>
      <c r="Q14" s="18">
        <f>+[1]Brownsville!AY113</f>
        <v>698289.4</v>
      </c>
      <c r="R14" s="18">
        <f t="shared" si="1"/>
        <v>0.40000000002328306</v>
      </c>
    </row>
    <row r="15" spans="1:18" x14ac:dyDescent="0.2">
      <c r="A15" s="17" t="s">
        <v>22</v>
      </c>
      <c r="C15" s="36">
        <v>0</v>
      </c>
      <c r="D15" s="40">
        <v>0</v>
      </c>
      <c r="E15" s="40">
        <v>0</v>
      </c>
      <c r="F15" s="8">
        <v>0</v>
      </c>
      <c r="G15" s="40">
        <v>0</v>
      </c>
      <c r="H15" s="18">
        <v>0</v>
      </c>
      <c r="I15" s="40">
        <v>0</v>
      </c>
      <c r="J15" s="40">
        <v>0</v>
      </c>
      <c r="K15" s="40">
        <v>238231</v>
      </c>
      <c r="L15" s="40">
        <v>16621</v>
      </c>
      <c r="M15" s="40">
        <f>1048957+13938</f>
        <v>1062895</v>
      </c>
      <c r="N15" s="40">
        <v>0</v>
      </c>
      <c r="O15" s="18">
        <v>0</v>
      </c>
      <c r="P15" s="11">
        <f t="shared" si="0"/>
        <v>1317747</v>
      </c>
      <c r="Q15" s="18">
        <f>+[1]Brownsville!AY115</f>
        <v>1317746.81</v>
      </c>
      <c r="R15" s="18">
        <f t="shared" si="1"/>
        <v>-0.18999999994412065</v>
      </c>
    </row>
    <row r="16" spans="1:18" x14ac:dyDescent="0.2">
      <c r="A16" s="17" t="s">
        <v>23</v>
      </c>
      <c r="C16" s="36">
        <v>458107</v>
      </c>
      <c r="D16" s="40">
        <v>0</v>
      </c>
      <c r="E16" s="40">
        <v>0</v>
      </c>
      <c r="F16" s="8">
        <v>0</v>
      </c>
      <c r="G16" s="40">
        <v>0</v>
      </c>
      <c r="H16" s="40">
        <v>3333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18">
        <v>0</v>
      </c>
      <c r="P16" s="11">
        <f t="shared" si="0"/>
        <v>461440</v>
      </c>
      <c r="Q16" s="18">
        <f>+[1]Brownsville!AY120</f>
        <v>461440.33</v>
      </c>
      <c r="R16" s="18">
        <f t="shared" si="1"/>
        <v>0.33000000001629815</v>
      </c>
    </row>
    <row r="17" spans="1:18" x14ac:dyDescent="0.2">
      <c r="A17" s="17" t="s">
        <v>24</v>
      </c>
      <c r="C17" s="36">
        <v>220810</v>
      </c>
      <c r="D17" s="40">
        <v>59942</v>
      </c>
      <c r="E17" s="40">
        <v>30441</v>
      </c>
      <c r="F17" s="40">
        <v>125058</v>
      </c>
      <c r="G17" s="40">
        <v>24442</v>
      </c>
      <c r="H17" s="40">
        <v>66861</v>
      </c>
      <c r="I17" s="40">
        <v>204010</v>
      </c>
      <c r="J17" s="40">
        <v>84200</v>
      </c>
      <c r="K17" s="40">
        <v>0</v>
      </c>
      <c r="L17" s="40">
        <v>0</v>
      </c>
      <c r="M17" s="40">
        <v>37358</v>
      </c>
      <c r="N17" s="40">
        <v>0</v>
      </c>
      <c r="O17" s="17">
        <f>12248-1</f>
        <v>12247</v>
      </c>
      <c r="P17" s="11">
        <f t="shared" si="0"/>
        <v>865369</v>
      </c>
      <c r="Q17" s="18">
        <f>+[1]Brownsville!AY130</f>
        <v>865369.27999999991</v>
      </c>
      <c r="R17" s="18">
        <f t="shared" si="1"/>
        <v>0.27999999991152436</v>
      </c>
    </row>
    <row r="18" spans="1:18" x14ac:dyDescent="0.2">
      <c r="A18" s="17" t="s">
        <v>25</v>
      </c>
      <c r="C18" s="36">
        <v>0</v>
      </c>
      <c r="D18" s="40">
        <v>0</v>
      </c>
      <c r="E18" s="40">
        <v>0</v>
      </c>
      <c r="F18" s="8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18">
        <v>0</v>
      </c>
      <c r="P18" s="11">
        <f t="shared" si="0"/>
        <v>0</v>
      </c>
      <c r="Q18" s="18">
        <f>+[1]Brownsville!AY132</f>
        <v>0</v>
      </c>
      <c r="R18" s="18">
        <f t="shared" si="1"/>
        <v>0</v>
      </c>
    </row>
    <row r="19" spans="1:18" x14ac:dyDescent="0.2">
      <c r="A19" s="17" t="s">
        <v>26</v>
      </c>
      <c r="C19" s="36">
        <v>0</v>
      </c>
      <c r="D19" s="40">
        <v>73862</v>
      </c>
      <c r="E19" s="40">
        <v>0</v>
      </c>
      <c r="F19" s="8">
        <v>0</v>
      </c>
      <c r="G19" s="40">
        <f>1789210-500000-500000-71799</f>
        <v>717411</v>
      </c>
      <c r="H19" s="40">
        <v>0</v>
      </c>
      <c r="I19" s="40">
        <v>379197</v>
      </c>
      <c r="J19" s="40">
        <v>353836</v>
      </c>
      <c r="K19" s="40">
        <v>91393</v>
      </c>
      <c r="L19" s="40">
        <v>52976</v>
      </c>
      <c r="M19" s="40">
        <v>5188</v>
      </c>
      <c r="N19" s="40">
        <v>133605</v>
      </c>
      <c r="O19" s="18">
        <v>165021</v>
      </c>
      <c r="P19" s="11">
        <f t="shared" si="0"/>
        <v>1972489</v>
      </c>
      <c r="Q19" s="18">
        <f>+[1]Brownsville!AY139</f>
        <v>1972489.0119999999</v>
      </c>
      <c r="R19" s="18">
        <f t="shared" si="1"/>
        <v>1.1999999871477485E-2</v>
      </c>
    </row>
    <row r="20" spans="1:18" x14ac:dyDescent="0.2">
      <c r="A20" s="17" t="s">
        <v>27</v>
      </c>
      <c r="C20" s="36">
        <v>0</v>
      </c>
      <c r="D20" s="40">
        <v>0</v>
      </c>
      <c r="E20" s="40">
        <v>0</v>
      </c>
      <c r="F20" s="8">
        <v>0</v>
      </c>
      <c r="G20" s="40">
        <v>0</v>
      </c>
      <c r="H20" s="40">
        <v>121528</v>
      </c>
      <c r="I20" s="40">
        <v>58914</v>
      </c>
      <c r="J20" s="40">
        <v>47610</v>
      </c>
      <c r="K20" s="18">
        <v>0</v>
      </c>
      <c r="L20" s="40">
        <v>0</v>
      </c>
      <c r="M20" s="40">
        <v>0</v>
      </c>
      <c r="N20" s="40">
        <v>0</v>
      </c>
      <c r="O20" s="18">
        <v>-1</v>
      </c>
      <c r="P20" s="11">
        <f t="shared" si="0"/>
        <v>228051</v>
      </c>
      <c r="Q20" s="18">
        <f>+[1]Brownsville!AY194</f>
        <v>228051.11</v>
      </c>
      <c r="R20" s="18">
        <f t="shared" si="1"/>
        <v>0.10999999998603016</v>
      </c>
    </row>
    <row r="21" spans="1:18" x14ac:dyDescent="0.2">
      <c r="A21" s="17" t="s">
        <v>28</v>
      </c>
      <c r="C21" s="36">
        <v>0</v>
      </c>
      <c r="D21" s="40">
        <v>0</v>
      </c>
      <c r="E21" s="40">
        <v>5853</v>
      </c>
      <c r="F21" s="8">
        <v>0</v>
      </c>
      <c r="G21" s="40">
        <v>27412</v>
      </c>
      <c r="H21" s="40">
        <v>0</v>
      </c>
      <c r="I21" s="40">
        <v>0</v>
      </c>
      <c r="J21" s="40">
        <v>0</v>
      </c>
      <c r="K21" s="18">
        <v>0</v>
      </c>
      <c r="L21" s="40">
        <v>0</v>
      </c>
      <c r="M21" s="40">
        <v>0</v>
      </c>
      <c r="N21" s="40">
        <v>0</v>
      </c>
      <c r="O21" s="18">
        <v>192684</v>
      </c>
      <c r="P21" s="11">
        <f t="shared" si="0"/>
        <v>225949</v>
      </c>
      <c r="Q21" s="18">
        <f>+[1]Brownsville!AY141</f>
        <v>225949</v>
      </c>
      <c r="R21" s="18">
        <f t="shared" si="1"/>
        <v>0</v>
      </c>
    </row>
    <row r="22" spans="1:18" x14ac:dyDescent="0.2">
      <c r="A22" s="17" t="s">
        <v>48</v>
      </c>
      <c r="C22" s="36">
        <f>67487+2450-1</f>
        <v>69936</v>
      </c>
      <c r="D22" s="40">
        <v>0</v>
      </c>
      <c r="E22" s="40">
        <v>0</v>
      </c>
      <c r="F22" s="8">
        <v>0</v>
      </c>
      <c r="G22" s="40">
        <v>0</v>
      </c>
      <c r="H22" s="40">
        <v>0</v>
      </c>
      <c r="I22" s="40">
        <v>0</v>
      </c>
      <c r="J22" s="40">
        <v>0</v>
      </c>
      <c r="K22" s="18">
        <v>0</v>
      </c>
      <c r="L22" s="40">
        <v>0</v>
      </c>
      <c r="M22" s="40">
        <v>0</v>
      </c>
      <c r="N22" s="40">
        <v>0</v>
      </c>
      <c r="O22" s="18">
        <v>1</v>
      </c>
      <c r="P22" s="11">
        <f>SUM(C22:O22)</f>
        <v>69937</v>
      </c>
      <c r="Q22" s="18">
        <f>+[1]Brownsville!AY161</f>
        <v>69937</v>
      </c>
      <c r="R22" s="18">
        <f t="shared" si="1"/>
        <v>0</v>
      </c>
    </row>
    <row r="23" spans="1:18" x14ac:dyDescent="0.2">
      <c r="A23" s="17" t="s">
        <v>29</v>
      </c>
      <c r="C23" s="36">
        <v>0</v>
      </c>
      <c r="D23" s="40">
        <v>117600</v>
      </c>
      <c r="E23" s="40">
        <v>0</v>
      </c>
      <c r="F23" s="8">
        <v>0</v>
      </c>
      <c r="G23" s="40">
        <v>0</v>
      </c>
      <c r="H23" s="40">
        <v>0</v>
      </c>
      <c r="I23" s="40">
        <v>0</v>
      </c>
      <c r="J23" s="40">
        <v>14699</v>
      </c>
      <c r="K23" s="17">
        <v>0</v>
      </c>
      <c r="L23" s="40">
        <v>22048</v>
      </c>
      <c r="M23" s="40">
        <v>0</v>
      </c>
      <c r="N23" s="40">
        <v>0</v>
      </c>
      <c r="O23" s="18">
        <v>10001</v>
      </c>
      <c r="P23" s="11">
        <f t="shared" si="0"/>
        <v>164348</v>
      </c>
      <c r="Q23" s="18">
        <f>+[1]Brownsville!AY143</f>
        <v>164348</v>
      </c>
      <c r="R23" s="18">
        <f t="shared" si="1"/>
        <v>0</v>
      </c>
    </row>
    <row r="24" spans="1:18" x14ac:dyDescent="0.2">
      <c r="A24" s="17" t="s">
        <v>30</v>
      </c>
      <c r="C24" s="36">
        <v>0</v>
      </c>
      <c r="D24" s="40">
        <v>0</v>
      </c>
      <c r="E24" s="40">
        <v>5869</v>
      </c>
      <c r="F24" s="8">
        <v>0</v>
      </c>
      <c r="G24" s="40">
        <f>12000-7724</f>
        <v>4276</v>
      </c>
      <c r="H24" s="40">
        <v>14353</v>
      </c>
      <c r="I24" s="40">
        <v>6434</v>
      </c>
      <c r="J24" s="40">
        <v>4128</v>
      </c>
      <c r="K24" s="18">
        <v>0</v>
      </c>
      <c r="L24" s="40">
        <v>0</v>
      </c>
      <c r="M24" s="40">
        <v>0</v>
      </c>
      <c r="N24" s="40">
        <v>0</v>
      </c>
      <c r="O24" s="18">
        <v>0</v>
      </c>
      <c r="P24" s="11">
        <f t="shared" si="0"/>
        <v>35060</v>
      </c>
      <c r="Q24" s="18">
        <f>+[1]Brownsville!AY145</f>
        <v>35060.42</v>
      </c>
      <c r="R24" s="18">
        <f t="shared" si="1"/>
        <v>0.41999999999825377</v>
      </c>
    </row>
    <row r="25" spans="1:18" x14ac:dyDescent="0.2">
      <c r="A25" s="17" t="s">
        <v>32</v>
      </c>
      <c r="C25" s="36">
        <v>200157</v>
      </c>
      <c r="D25" s="40">
        <v>3386</v>
      </c>
      <c r="E25" s="40">
        <f>3357+1055</f>
        <v>4412</v>
      </c>
      <c r="F25" s="40">
        <v>-19953</v>
      </c>
      <c r="G25" s="40">
        <f>19953-16439</f>
        <v>3514</v>
      </c>
      <c r="H25" s="40">
        <v>147966</v>
      </c>
      <c r="I25" s="40">
        <v>41583</v>
      </c>
      <c r="J25" s="40">
        <v>64584</v>
      </c>
      <c r="K25" s="40">
        <v>77226</v>
      </c>
      <c r="L25" s="40">
        <v>25706</v>
      </c>
      <c r="M25" s="40">
        <f>3271+1</f>
        <v>3272</v>
      </c>
      <c r="N25" s="40">
        <v>3463</v>
      </c>
      <c r="O25" s="18">
        <v>-1</v>
      </c>
      <c r="P25" s="11">
        <f t="shared" si="0"/>
        <v>555315</v>
      </c>
      <c r="Q25" s="18">
        <f>+[1]Brownsville!AY179</f>
        <v>555315.14000000013</v>
      </c>
      <c r="R25" s="18">
        <f t="shared" si="1"/>
        <v>0.14000000013038516</v>
      </c>
    </row>
    <row r="26" spans="1:18" x14ac:dyDescent="0.2">
      <c r="A26" s="17" t="s">
        <v>33</v>
      </c>
      <c r="C26" s="36">
        <f>181515</f>
        <v>181515</v>
      </c>
      <c r="D26" s="40">
        <v>5254</v>
      </c>
      <c r="E26" s="40">
        <f>2145+126458</f>
        <v>128603</v>
      </c>
      <c r="F26" s="8">
        <v>0</v>
      </c>
      <c r="G26" s="40">
        <v>3491</v>
      </c>
      <c r="H26" s="40">
        <f>265296+1</f>
        <v>265297</v>
      </c>
      <c r="I26" s="40">
        <v>0</v>
      </c>
      <c r="J26" s="40">
        <v>27841</v>
      </c>
      <c r="K26" s="18">
        <v>0</v>
      </c>
      <c r="L26" s="40">
        <v>146514</v>
      </c>
      <c r="M26" s="40">
        <v>7904</v>
      </c>
      <c r="N26" s="40">
        <v>0</v>
      </c>
      <c r="O26" s="18">
        <v>-2</v>
      </c>
      <c r="P26" s="11">
        <f>SUM(C26:O26)</f>
        <v>766417</v>
      </c>
      <c r="Q26" s="18">
        <f>+[1]Brownsville!AY192</f>
        <v>766416.75</v>
      </c>
      <c r="R26" s="18">
        <f t="shared" si="1"/>
        <v>-0.25</v>
      </c>
    </row>
    <row r="27" spans="1:18" x14ac:dyDescent="0.2">
      <c r="A27" s="17" t="s">
        <v>81</v>
      </c>
      <c r="C27" s="36">
        <v>0</v>
      </c>
      <c r="D27" s="40">
        <v>0</v>
      </c>
      <c r="E27" s="40">
        <v>0</v>
      </c>
      <c r="F27" s="8">
        <v>0</v>
      </c>
      <c r="G27" s="40">
        <v>0</v>
      </c>
      <c r="H27" s="40">
        <v>0</v>
      </c>
      <c r="I27" s="40"/>
      <c r="J27" s="40"/>
      <c r="K27" s="40">
        <f>+J27</f>
        <v>0</v>
      </c>
      <c r="L27" s="40">
        <v>0</v>
      </c>
      <c r="M27" s="40">
        <v>0</v>
      </c>
      <c r="N27" s="40">
        <v>0</v>
      </c>
      <c r="O27" s="18">
        <v>0</v>
      </c>
      <c r="P27" s="11">
        <f t="shared" si="0"/>
        <v>0</v>
      </c>
    </row>
    <row r="28" spans="1:18" x14ac:dyDescent="0.2">
      <c r="A28" s="17" t="s">
        <v>63</v>
      </c>
      <c r="C28" s="41">
        <f t="shared" ref="C28:O28" si="2">SUM(C10:C27)</f>
        <v>64632925</v>
      </c>
      <c r="D28" s="41">
        <f t="shared" si="2"/>
        <v>6328265</v>
      </c>
      <c r="E28" s="41">
        <f t="shared" si="2"/>
        <v>5731798</v>
      </c>
      <c r="F28" s="41">
        <f t="shared" si="2"/>
        <v>7413605</v>
      </c>
      <c r="G28" s="41">
        <f t="shared" si="2"/>
        <v>3905331</v>
      </c>
      <c r="H28" s="41">
        <f t="shared" si="2"/>
        <v>6641389</v>
      </c>
      <c r="I28" s="41">
        <f t="shared" si="2"/>
        <v>6909970</v>
      </c>
      <c r="J28" s="41">
        <f t="shared" si="2"/>
        <v>5891168</v>
      </c>
      <c r="K28" s="41">
        <f t="shared" si="2"/>
        <v>8322322</v>
      </c>
      <c r="L28" s="41">
        <f t="shared" si="2"/>
        <v>1674349</v>
      </c>
      <c r="M28" s="41">
        <f t="shared" si="2"/>
        <v>1930064</v>
      </c>
      <c r="N28" s="41">
        <f t="shared" si="2"/>
        <v>467681</v>
      </c>
      <c r="O28" s="21">
        <f t="shared" si="2"/>
        <v>2690424</v>
      </c>
      <c r="P28" s="22">
        <f t="shared" si="0"/>
        <v>122539291</v>
      </c>
    </row>
    <row r="29" spans="1:18" x14ac:dyDescent="0.2">
      <c r="A29" s="17" t="s">
        <v>67</v>
      </c>
      <c r="C29" s="41">
        <f>+C28</f>
        <v>64632925</v>
      </c>
      <c r="D29" s="41">
        <f t="shared" ref="D29:O29" si="3">+C29+D28</f>
        <v>70961190</v>
      </c>
      <c r="E29" s="41">
        <f t="shared" si="3"/>
        <v>76692988</v>
      </c>
      <c r="F29" s="41">
        <f t="shared" si="3"/>
        <v>84106593</v>
      </c>
      <c r="G29" s="41">
        <f t="shared" si="3"/>
        <v>88011924</v>
      </c>
      <c r="H29" s="41">
        <f t="shared" si="3"/>
        <v>94653313</v>
      </c>
      <c r="I29" s="41">
        <f t="shared" si="3"/>
        <v>101563283</v>
      </c>
      <c r="J29" s="41">
        <f t="shared" si="3"/>
        <v>107454451</v>
      </c>
      <c r="K29" s="41">
        <f t="shared" si="3"/>
        <v>115776773</v>
      </c>
      <c r="L29" s="41">
        <f t="shared" si="3"/>
        <v>117451122</v>
      </c>
      <c r="M29" s="41">
        <f t="shared" si="3"/>
        <v>119381186</v>
      </c>
      <c r="N29" s="41">
        <f t="shared" si="3"/>
        <v>119848867</v>
      </c>
      <c r="O29" s="21">
        <f t="shared" si="3"/>
        <v>122539291</v>
      </c>
      <c r="P29" s="13"/>
    </row>
    <row r="30" spans="1:18" x14ac:dyDescent="0.2">
      <c r="A30" s="17" t="s">
        <v>64</v>
      </c>
      <c r="C30" s="36"/>
      <c r="D30" s="40"/>
      <c r="E30" s="40"/>
      <c r="F30" s="8"/>
      <c r="G30" s="40"/>
      <c r="H30" s="40"/>
      <c r="I30" s="40"/>
      <c r="J30" s="40"/>
      <c r="K30" s="40"/>
      <c r="L30" s="40"/>
      <c r="M30" s="40"/>
      <c r="N30" s="40"/>
      <c r="P30" s="16">
        <f>+P28/C59/1000</f>
        <v>267.55303711790395</v>
      </c>
    </row>
    <row r="31" spans="1:18" x14ac:dyDescent="0.2"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P31" s="11"/>
    </row>
    <row r="32" spans="1:18" x14ac:dyDescent="0.2">
      <c r="A32" s="17" t="s">
        <v>44</v>
      </c>
      <c r="C32" s="42">
        <f>806147+1245945+32657</f>
        <v>2084749</v>
      </c>
      <c r="D32" s="42">
        <f>39185+401814+1</f>
        <v>441000</v>
      </c>
      <c r="E32" s="42">
        <f>SUM($C48:D48)*E57/360*30</f>
        <v>374381.82958760008</v>
      </c>
      <c r="F32" s="42">
        <f>SUM($C48:E48)*F57/360*28</f>
        <v>391590.45722367667</v>
      </c>
      <c r="G32" s="42">
        <f>SUM($C48:F48)*G57/360*33</f>
        <v>467674.2924273751</v>
      </c>
      <c r="H32" s="42">
        <v>256005</v>
      </c>
      <c r="I32" s="42">
        <f>559857+123417</f>
        <v>683274</v>
      </c>
      <c r="J32" s="42">
        <v>598297</v>
      </c>
      <c r="K32" s="42">
        <v>-598297</v>
      </c>
      <c r="L32" s="42">
        <v>-290628</v>
      </c>
      <c r="M32" s="40">
        <v>0</v>
      </c>
      <c r="N32" s="40">
        <v>0</v>
      </c>
      <c r="O32" s="18">
        <v>0</v>
      </c>
      <c r="P32" s="11">
        <f t="shared" ref="P32:P38" si="4">SUM(C32:O32)</f>
        <v>4408046.5792386513</v>
      </c>
      <c r="Q32" s="18">
        <f>+[1]Brownsville!AY147</f>
        <v>4408047</v>
      </c>
      <c r="R32" s="18">
        <f>+Q32-P32</f>
        <v>0.42076134867966175</v>
      </c>
    </row>
    <row r="33" spans="1:18" x14ac:dyDescent="0.2">
      <c r="A33" s="17" t="s">
        <v>93</v>
      </c>
      <c r="C33" s="42"/>
      <c r="D33" s="42"/>
      <c r="E33" s="42"/>
      <c r="F33" s="42"/>
      <c r="G33" s="42">
        <f>-125689+1725</f>
        <v>-123964</v>
      </c>
      <c r="H33" s="42"/>
      <c r="I33" s="42"/>
      <c r="J33" s="42"/>
      <c r="K33" s="42"/>
      <c r="L33" s="40"/>
      <c r="M33" s="40"/>
      <c r="N33" s="40"/>
      <c r="P33" s="11">
        <f t="shared" si="4"/>
        <v>-123964</v>
      </c>
      <c r="Q33" s="18">
        <f>+[1]Brownsville!AY148</f>
        <v>-123964</v>
      </c>
      <c r="R33" s="18">
        <f>+Q33-P33</f>
        <v>0</v>
      </c>
    </row>
    <row r="34" spans="1:18" x14ac:dyDescent="0.2">
      <c r="A34" s="17" t="s">
        <v>75</v>
      </c>
      <c r="C34" s="42">
        <v>0</v>
      </c>
      <c r="D34" s="42">
        <v>6251.0121250000002</v>
      </c>
      <c r="E34" s="42">
        <v>5254.9939999999997</v>
      </c>
      <c r="F34" s="42">
        <v>4060.875125</v>
      </c>
      <c r="G34" s="42">
        <v>3911.4187500000003</v>
      </c>
      <c r="H34" s="42">
        <v>3727</v>
      </c>
      <c r="I34" s="42"/>
      <c r="J34" s="42"/>
      <c r="K34" s="42"/>
      <c r="L34" s="42">
        <v>0</v>
      </c>
      <c r="M34" s="42"/>
      <c r="N34" s="42">
        <v>0</v>
      </c>
      <c r="O34" s="28">
        <v>0</v>
      </c>
      <c r="P34" s="11">
        <f t="shared" si="4"/>
        <v>23205.3</v>
      </c>
      <c r="Q34" s="18">
        <f>+[1]Brownsville!AY149</f>
        <v>23205.300000000003</v>
      </c>
      <c r="R34" s="18">
        <f>+Q34-P34</f>
        <v>0</v>
      </c>
    </row>
    <row r="35" spans="1:18" x14ac:dyDescent="0.2">
      <c r="A35" s="17" t="s">
        <v>31</v>
      </c>
      <c r="C35" s="40">
        <v>68386</v>
      </c>
      <c r="D35" s="40">
        <v>761038</v>
      </c>
      <c r="E35" s="40">
        <v>0</v>
      </c>
      <c r="F35" s="40">
        <v>0</v>
      </c>
      <c r="G35" s="40">
        <f>100000-100000</f>
        <v>0</v>
      </c>
      <c r="H35" s="40">
        <v>83333</v>
      </c>
      <c r="I35" s="40">
        <v>0</v>
      </c>
      <c r="J35" s="40"/>
      <c r="K35" s="40"/>
      <c r="L35" s="40"/>
      <c r="M35" s="40"/>
      <c r="N35" s="40">
        <v>83333</v>
      </c>
      <c r="O35" s="18">
        <v>107680</v>
      </c>
      <c r="P35" s="11">
        <f t="shared" si="4"/>
        <v>1103770</v>
      </c>
      <c r="Q35" s="18">
        <f>+[1]Brownsville!AY159</f>
        <v>1103769.7233333334</v>
      </c>
      <c r="R35" s="18">
        <f>+Q35-P35</f>
        <v>-0.27666666661389172</v>
      </c>
    </row>
    <row r="36" spans="1:18" x14ac:dyDescent="0.2">
      <c r="A36" s="17" t="s">
        <v>118</v>
      </c>
      <c r="C36" s="40">
        <v>0</v>
      </c>
      <c r="D36" s="40"/>
      <c r="E36" s="40"/>
      <c r="F36" s="40"/>
      <c r="G36" s="40">
        <v>2666</v>
      </c>
      <c r="H36" s="40">
        <v>-18334</v>
      </c>
      <c r="I36" s="40"/>
      <c r="J36" s="40"/>
      <c r="K36" s="40"/>
      <c r="L36" s="40"/>
      <c r="M36" s="40"/>
      <c r="N36" s="40"/>
      <c r="P36" s="11">
        <f t="shared" si="4"/>
        <v>-15668</v>
      </c>
      <c r="Q36" s="18">
        <f>+[1]Brownsville!AY150</f>
        <v>-15667.939999999999</v>
      </c>
      <c r="R36" s="18">
        <f>+Q36-P36</f>
        <v>6.0000000001309672E-2</v>
      </c>
    </row>
    <row r="37" spans="1:18" x14ac:dyDescent="0.2">
      <c r="A37" s="17" t="s">
        <v>80</v>
      </c>
      <c r="C37" s="43"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0"/>
      <c r="P37" s="11">
        <f t="shared" si="4"/>
        <v>0</v>
      </c>
    </row>
    <row r="38" spans="1:18" x14ac:dyDescent="0.2">
      <c r="A38" s="17" t="s">
        <v>65</v>
      </c>
      <c r="C38" s="41">
        <f t="shared" ref="C38:O38" si="5">SUM(C32:C37)</f>
        <v>2153135</v>
      </c>
      <c r="D38" s="41">
        <f t="shared" si="5"/>
        <v>1208289.0121249999</v>
      </c>
      <c r="E38" s="41">
        <f t="shared" si="5"/>
        <v>379636.82358760008</v>
      </c>
      <c r="F38" s="41">
        <f t="shared" si="5"/>
        <v>395651.33234867669</v>
      </c>
      <c r="G38" s="41">
        <f t="shared" si="5"/>
        <v>350287.71117737511</v>
      </c>
      <c r="H38" s="41">
        <f t="shared" si="5"/>
        <v>324731</v>
      </c>
      <c r="I38" s="41">
        <f t="shared" si="5"/>
        <v>683274</v>
      </c>
      <c r="J38" s="41">
        <f t="shared" si="5"/>
        <v>598297</v>
      </c>
      <c r="K38" s="41">
        <f t="shared" si="5"/>
        <v>-598297</v>
      </c>
      <c r="L38" s="41">
        <f t="shared" si="5"/>
        <v>-290628</v>
      </c>
      <c r="M38" s="41">
        <f t="shared" si="5"/>
        <v>0</v>
      </c>
      <c r="N38" s="41">
        <f t="shared" si="5"/>
        <v>83333</v>
      </c>
      <c r="O38" s="21">
        <f t="shared" si="5"/>
        <v>107680</v>
      </c>
      <c r="P38" s="22">
        <f t="shared" si="4"/>
        <v>5395389.8792386521</v>
      </c>
    </row>
    <row r="39" spans="1:18" x14ac:dyDescent="0.2">
      <c r="A39" s="17" t="s">
        <v>68</v>
      </c>
      <c r="C39" s="41">
        <f>+C38</f>
        <v>2153135</v>
      </c>
      <c r="D39" s="41">
        <f t="shared" ref="D39:O39" si="6">+D38+C39</f>
        <v>3361424.0121249999</v>
      </c>
      <c r="E39" s="41">
        <f t="shared" si="6"/>
        <v>3741060.8357126</v>
      </c>
      <c r="F39" s="41">
        <f t="shared" si="6"/>
        <v>4136712.1680612769</v>
      </c>
      <c r="G39" s="41">
        <f t="shared" si="6"/>
        <v>4486999.8792386521</v>
      </c>
      <c r="H39" s="41">
        <f t="shared" si="6"/>
        <v>4811730.8792386521</v>
      </c>
      <c r="I39" s="41">
        <f t="shared" si="6"/>
        <v>5495004.8792386521</v>
      </c>
      <c r="J39" s="41">
        <f t="shared" si="6"/>
        <v>6093301.8792386521</v>
      </c>
      <c r="K39" s="41">
        <f t="shared" si="6"/>
        <v>5495004.8792386521</v>
      </c>
      <c r="L39" s="41">
        <f t="shared" si="6"/>
        <v>5204376.8792386521</v>
      </c>
      <c r="M39" s="41">
        <f t="shared" si="6"/>
        <v>5204376.8792386521</v>
      </c>
      <c r="N39" s="41">
        <f t="shared" si="6"/>
        <v>5287709.8792386521</v>
      </c>
      <c r="O39" s="21">
        <f t="shared" si="6"/>
        <v>5395389.8792386521</v>
      </c>
      <c r="P39" s="11"/>
    </row>
    <row r="40" spans="1:18" x14ac:dyDescent="0.2">
      <c r="A40" s="17"/>
      <c r="C40" s="43"/>
      <c r="D40" s="42"/>
      <c r="E40" s="42"/>
      <c r="F40" s="20"/>
      <c r="G40" s="42"/>
      <c r="H40" s="42"/>
      <c r="I40" s="42"/>
      <c r="J40" s="42"/>
      <c r="K40" s="42"/>
      <c r="L40" s="42"/>
      <c r="M40" s="42"/>
      <c r="N40" s="42"/>
      <c r="O40" s="20"/>
      <c r="P40" s="11"/>
    </row>
    <row r="41" spans="1:18" s="4" customFormat="1" x14ac:dyDescent="0.2">
      <c r="A41" s="4" t="s">
        <v>85</v>
      </c>
      <c r="C41" s="36">
        <f t="shared" ref="C41:O41" si="7">+C28+C38</f>
        <v>66786060</v>
      </c>
      <c r="D41" s="36">
        <f t="shared" si="7"/>
        <v>7536554.0121250004</v>
      </c>
      <c r="E41" s="36">
        <f t="shared" si="7"/>
        <v>6111434.8235876001</v>
      </c>
      <c r="F41" s="36">
        <f t="shared" si="7"/>
        <v>7809256.3323486764</v>
      </c>
      <c r="G41" s="36">
        <f t="shared" si="7"/>
        <v>4255618.7111773752</v>
      </c>
      <c r="H41" s="36">
        <f t="shared" si="7"/>
        <v>6966120</v>
      </c>
      <c r="I41" s="36">
        <f t="shared" si="7"/>
        <v>7593244</v>
      </c>
      <c r="J41" s="36">
        <f t="shared" si="7"/>
        <v>6489465</v>
      </c>
      <c r="K41" s="36">
        <f>+K28+K38</f>
        <v>7724025</v>
      </c>
      <c r="L41" s="36">
        <f t="shared" si="7"/>
        <v>1383721</v>
      </c>
      <c r="M41" s="36">
        <f t="shared" si="7"/>
        <v>1930064</v>
      </c>
      <c r="N41" s="36">
        <f t="shared" si="7"/>
        <v>551014</v>
      </c>
      <c r="O41" s="4">
        <f t="shared" si="7"/>
        <v>2798104</v>
      </c>
      <c r="P41" s="11">
        <f>SUM(C41:O41)</f>
        <v>127934680.87923865</v>
      </c>
    </row>
    <row r="42" spans="1:18" s="4" customFormat="1" x14ac:dyDescent="0.2">
      <c r="A42" s="4" t="s">
        <v>45</v>
      </c>
      <c r="C42" s="36">
        <f>C41</f>
        <v>66786060</v>
      </c>
      <c r="D42" s="36">
        <f t="shared" ref="D42:O42" si="8">C42+D41</f>
        <v>74322614.012125</v>
      </c>
      <c r="E42" s="36">
        <f t="shared" si="8"/>
        <v>80434048.835712597</v>
      </c>
      <c r="F42" s="36">
        <f t="shared" si="8"/>
        <v>88243305.168061271</v>
      </c>
      <c r="G42" s="36">
        <f>F42+G41</f>
        <v>92498923.87923865</v>
      </c>
      <c r="H42" s="36">
        <f t="shared" si="8"/>
        <v>99465043.87923865</v>
      </c>
      <c r="I42" s="36">
        <f t="shared" si="8"/>
        <v>107058287.87923865</v>
      </c>
      <c r="J42" s="36">
        <f t="shared" si="8"/>
        <v>113547752.87923865</v>
      </c>
      <c r="K42" s="36">
        <f>J42+K41</f>
        <v>121271777.87923865</v>
      </c>
      <c r="L42" s="36">
        <f t="shared" si="8"/>
        <v>122655498.87923865</v>
      </c>
      <c r="M42" s="36">
        <f t="shared" si="8"/>
        <v>124585562.87923865</v>
      </c>
      <c r="N42" s="36">
        <f t="shared" si="8"/>
        <v>125136576.87923865</v>
      </c>
      <c r="O42" s="4">
        <f t="shared" si="8"/>
        <v>127934680.87923865</v>
      </c>
      <c r="P42" s="11"/>
    </row>
    <row r="43" spans="1:18" s="4" customFormat="1" x14ac:dyDescent="0.2">
      <c r="A43" s="17" t="s">
        <v>64</v>
      </c>
      <c r="C43" s="36"/>
      <c r="D43" s="36"/>
      <c r="E43" s="36"/>
      <c r="G43" s="36"/>
      <c r="H43" s="36"/>
      <c r="I43" s="36"/>
      <c r="J43" s="36"/>
      <c r="K43" s="36"/>
      <c r="L43" s="36"/>
      <c r="M43" s="36"/>
      <c r="N43" s="36"/>
      <c r="P43" s="16">
        <f>+P41/C59/1000</f>
        <v>279.33336436514986</v>
      </c>
    </row>
    <row r="44" spans="1:18" x14ac:dyDescent="0.2">
      <c r="C44" s="36"/>
      <c r="D44" s="40"/>
      <c r="E44" s="40"/>
      <c r="G44" s="40"/>
      <c r="H44" s="40"/>
      <c r="I44" s="40"/>
      <c r="J44" s="40"/>
      <c r="K44" s="40"/>
      <c r="L44" s="40"/>
      <c r="M44" s="40"/>
      <c r="N44" s="40"/>
      <c r="P44" s="11"/>
    </row>
    <row r="45" spans="1:18" x14ac:dyDescent="0.2">
      <c r="A45" s="17" t="s">
        <v>39</v>
      </c>
      <c r="C45" s="36">
        <v>0</v>
      </c>
      <c r="D45" s="40"/>
      <c r="E45" s="40"/>
      <c r="G45" s="40"/>
      <c r="H45" s="40"/>
      <c r="I45" s="40">
        <v>0</v>
      </c>
      <c r="J45" s="40"/>
      <c r="K45" s="40"/>
      <c r="L45" s="40"/>
      <c r="M45" s="40"/>
      <c r="N45" s="40"/>
      <c r="P45" s="22">
        <f>SUM(C45:O45)</f>
        <v>0</v>
      </c>
      <c r="R45" s="18">
        <f>+Q45-P45</f>
        <v>0</v>
      </c>
    </row>
    <row r="46" spans="1:18" s="4" customFormat="1" x14ac:dyDescent="0.2">
      <c r="A46" s="8"/>
      <c r="C46" s="35"/>
      <c r="D46" s="36"/>
      <c r="E46" s="36"/>
      <c r="G46" s="36"/>
      <c r="H46" s="36"/>
      <c r="I46" s="36"/>
      <c r="J46" s="36"/>
      <c r="K46" s="36"/>
      <c r="L46" s="36"/>
      <c r="M46" s="36"/>
      <c r="N46" s="36"/>
      <c r="P46" s="11"/>
    </row>
    <row r="47" spans="1:18" x14ac:dyDescent="0.2">
      <c r="A47" s="17" t="s">
        <v>69</v>
      </c>
      <c r="C47" s="36">
        <f t="shared" ref="C47:J47" si="9">+C41-C32</f>
        <v>64701311</v>
      </c>
      <c r="D47" s="36">
        <f>+D41-D32</f>
        <v>7095554.0121250004</v>
      </c>
      <c r="E47" s="36">
        <f t="shared" si="9"/>
        <v>5737052.9939999999</v>
      </c>
      <c r="F47" s="36">
        <f t="shared" si="9"/>
        <v>7417665.8751249993</v>
      </c>
      <c r="G47" s="36">
        <f t="shared" si="9"/>
        <v>3787944.4187500002</v>
      </c>
      <c r="H47" s="36">
        <f t="shared" si="9"/>
        <v>6710115</v>
      </c>
      <c r="I47" s="36">
        <f t="shared" si="9"/>
        <v>6909970</v>
      </c>
      <c r="J47" s="36">
        <f t="shared" si="9"/>
        <v>5891168</v>
      </c>
      <c r="K47" s="36">
        <f>+K41-K32</f>
        <v>8322322</v>
      </c>
      <c r="L47" s="36">
        <f>ROUND(+L41-L32,0)</f>
        <v>1674349</v>
      </c>
      <c r="M47" s="36">
        <f>+M41-M32</f>
        <v>1930064</v>
      </c>
      <c r="N47" s="36">
        <f>+N41-N32</f>
        <v>551014</v>
      </c>
      <c r="O47" s="4">
        <f>+O41-O32</f>
        <v>2798104</v>
      </c>
      <c r="P47" s="11">
        <f>SUM(C47:O47)</f>
        <v>123526634.30000001</v>
      </c>
    </row>
    <row r="48" spans="1:18" hidden="1" x14ac:dyDescent="0.2">
      <c r="A48" s="17" t="s">
        <v>82</v>
      </c>
      <c r="C48" s="37">
        <f>61516763+9309496+126459+39185</f>
        <v>70991903</v>
      </c>
      <c r="D48" s="37">
        <f>6803830+756250+401814+6251</f>
        <v>7968145</v>
      </c>
      <c r="E48" s="37">
        <f>9173314+374382+5255</f>
        <v>9552951</v>
      </c>
      <c r="F48" s="37">
        <f>800000+391590+4061</f>
        <v>1195651</v>
      </c>
      <c r="G48" s="36">
        <f>IF(+G42-F49-G47&gt;0,G42-F49-G47,250000)</f>
        <v>250000</v>
      </c>
      <c r="H48" s="36">
        <v>0</v>
      </c>
      <c r="I48" s="36">
        <v>0</v>
      </c>
      <c r="J48" s="36">
        <v>0</v>
      </c>
      <c r="K48" s="36">
        <v>0</v>
      </c>
      <c r="L48" s="36"/>
      <c r="M48" s="36"/>
      <c r="N48" s="36"/>
      <c r="O48" s="4"/>
      <c r="P48" s="11"/>
    </row>
    <row r="49" spans="1:18" hidden="1" x14ac:dyDescent="0.2">
      <c r="A49" s="17" t="s">
        <v>83</v>
      </c>
      <c r="C49" s="36">
        <f>+C48</f>
        <v>70991903</v>
      </c>
      <c r="D49" s="36">
        <f t="shared" ref="D49:K49" si="10">+D48+C49</f>
        <v>78960048</v>
      </c>
      <c r="E49" s="36">
        <f t="shared" si="10"/>
        <v>88512999</v>
      </c>
      <c r="F49" s="36">
        <f t="shared" si="10"/>
        <v>89708650</v>
      </c>
      <c r="G49" s="36">
        <f t="shared" si="10"/>
        <v>89958650</v>
      </c>
      <c r="H49" s="36">
        <v>0</v>
      </c>
      <c r="I49" s="36">
        <f t="shared" si="10"/>
        <v>0</v>
      </c>
      <c r="J49" s="36">
        <f t="shared" si="10"/>
        <v>0</v>
      </c>
      <c r="K49" s="36">
        <f t="shared" si="10"/>
        <v>0</v>
      </c>
      <c r="L49" s="36"/>
      <c r="M49" s="36"/>
      <c r="N49" s="36"/>
      <c r="O49" s="4"/>
      <c r="P49" s="11"/>
    </row>
    <row r="50" spans="1:18" x14ac:dyDescent="0.2">
      <c r="C50" s="36"/>
      <c r="D50" s="40"/>
      <c r="E50" s="40"/>
      <c r="G50" s="40"/>
      <c r="H50" s="40"/>
      <c r="I50" s="40"/>
      <c r="J50" s="40"/>
      <c r="K50" s="40"/>
      <c r="L50" s="40"/>
      <c r="M50" s="40"/>
      <c r="N50" s="40"/>
      <c r="P50" s="11"/>
    </row>
    <row r="51" spans="1:18" x14ac:dyDescent="0.2">
      <c r="C51" s="36"/>
      <c r="D51" s="40"/>
      <c r="E51" s="40"/>
      <c r="G51" s="40"/>
      <c r="H51" s="40"/>
      <c r="I51" s="40"/>
      <c r="J51" s="40"/>
      <c r="K51" s="40"/>
      <c r="L51" s="40"/>
      <c r="M51" s="40"/>
      <c r="N51" s="40"/>
      <c r="P51" s="11"/>
    </row>
    <row r="52" spans="1:18" ht="13.5" thickBot="1" x14ac:dyDescent="0.25">
      <c r="A52" s="4" t="s">
        <v>74</v>
      </c>
      <c r="C52" s="44">
        <f>+C41</f>
        <v>66786060</v>
      </c>
      <c r="D52" s="44">
        <f>+D41</f>
        <v>7536554.0121250004</v>
      </c>
      <c r="E52" s="44">
        <f t="shared" ref="E52:O52" si="11">+E41</f>
        <v>6111434.8235876001</v>
      </c>
      <c r="F52" s="44">
        <f t="shared" si="11"/>
        <v>7809256.3323486764</v>
      </c>
      <c r="G52" s="44">
        <f t="shared" si="11"/>
        <v>4255618.7111773752</v>
      </c>
      <c r="H52" s="44">
        <f t="shared" si="11"/>
        <v>6966120</v>
      </c>
      <c r="I52" s="44">
        <f t="shared" si="11"/>
        <v>7593244</v>
      </c>
      <c r="J52" s="44">
        <f t="shared" si="11"/>
        <v>6489465</v>
      </c>
      <c r="K52" s="44">
        <f t="shared" si="11"/>
        <v>7724025</v>
      </c>
      <c r="L52" s="44">
        <f t="shared" si="11"/>
        <v>1383721</v>
      </c>
      <c r="M52" s="44">
        <f t="shared" si="11"/>
        <v>1930064</v>
      </c>
      <c r="N52" s="44">
        <f t="shared" si="11"/>
        <v>551014</v>
      </c>
      <c r="O52" s="44">
        <f t="shared" si="11"/>
        <v>2798104</v>
      </c>
      <c r="P52" s="30">
        <f>SUM(C52:O52)</f>
        <v>127934680.87923865</v>
      </c>
      <c r="R52" s="18">
        <f>SUM(R10:R51)</f>
        <v>0.81609469380418886</v>
      </c>
    </row>
    <row r="53" spans="1:18" ht="13.5" thickBot="1" x14ac:dyDescent="0.25">
      <c r="A53" s="4" t="s">
        <v>84</v>
      </c>
      <c r="C53" s="45">
        <f>+C52</f>
        <v>66786060</v>
      </c>
      <c r="D53" s="45">
        <f>+D52+C53</f>
        <v>74322614.012125</v>
      </c>
      <c r="E53" s="45">
        <f t="shared" ref="E53:O53" si="12">+E52+D53</f>
        <v>80434048.835712597</v>
      </c>
      <c r="F53" s="45">
        <f t="shared" si="12"/>
        <v>88243305.168061271</v>
      </c>
      <c r="G53" s="45">
        <f t="shared" si="12"/>
        <v>92498923.87923865</v>
      </c>
      <c r="H53" s="45">
        <f t="shared" si="12"/>
        <v>99465043.87923865</v>
      </c>
      <c r="I53" s="45">
        <f t="shared" si="12"/>
        <v>107058287.87923865</v>
      </c>
      <c r="J53" s="45">
        <f t="shared" si="12"/>
        <v>113547752.87923865</v>
      </c>
      <c r="K53" s="45">
        <f t="shared" si="12"/>
        <v>121271777.87923865</v>
      </c>
      <c r="L53" s="45">
        <f t="shared" si="12"/>
        <v>122655498.87923865</v>
      </c>
      <c r="M53" s="45">
        <f t="shared" si="12"/>
        <v>124585562.87923865</v>
      </c>
      <c r="N53" s="45">
        <f t="shared" si="12"/>
        <v>125136576.87923865</v>
      </c>
      <c r="O53" s="32">
        <f t="shared" si="12"/>
        <v>127934680.87923865</v>
      </c>
      <c r="P53" s="11"/>
    </row>
    <row r="54" spans="1:18" x14ac:dyDescent="0.2">
      <c r="C54" s="36"/>
      <c r="D54" s="40"/>
      <c r="E54" s="40"/>
      <c r="G54" s="40"/>
      <c r="H54" s="40"/>
      <c r="I54" s="40"/>
      <c r="J54" s="40"/>
      <c r="K54" s="40"/>
      <c r="L54" s="40"/>
      <c r="M54" s="40"/>
      <c r="N54" s="40"/>
      <c r="P54" s="39"/>
    </row>
    <row r="55" spans="1:18" ht="13.5" thickBot="1" x14ac:dyDescent="0.25">
      <c r="A55" s="4" t="s">
        <v>73</v>
      </c>
      <c r="C55" s="44">
        <f t="shared" ref="C55:P55" si="13">+C52+C45</f>
        <v>66786060</v>
      </c>
      <c r="D55" s="44">
        <f t="shared" si="13"/>
        <v>7536554.0121250004</v>
      </c>
      <c r="E55" s="44">
        <f t="shared" si="13"/>
        <v>6111434.8235876001</v>
      </c>
      <c r="F55" s="44">
        <f t="shared" si="13"/>
        <v>7809256.3323486764</v>
      </c>
      <c r="G55" s="44">
        <f t="shared" si="13"/>
        <v>4255618.7111773752</v>
      </c>
      <c r="H55" s="44">
        <f t="shared" si="13"/>
        <v>6966120</v>
      </c>
      <c r="I55" s="44">
        <f t="shared" si="13"/>
        <v>7593244</v>
      </c>
      <c r="J55" s="44">
        <f t="shared" si="13"/>
        <v>6489465</v>
      </c>
      <c r="K55" s="44">
        <f>+K52+K45+2</f>
        <v>7724027</v>
      </c>
      <c r="L55" s="44">
        <f t="shared" si="13"/>
        <v>1383721</v>
      </c>
      <c r="M55" s="44">
        <f t="shared" si="13"/>
        <v>1930064</v>
      </c>
      <c r="N55" s="44">
        <f t="shared" si="13"/>
        <v>551014</v>
      </c>
      <c r="O55" s="29">
        <f t="shared" si="13"/>
        <v>2798104</v>
      </c>
      <c r="P55" s="30">
        <f t="shared" si="13"/>
        <v>127934680.87923865</v>
      </c>
      <c r="Q55" s="18">
        <f>+[1]Brownsville!AY197</f>
        <v>127934680.69533333</v>
      </c>
      <c r="R55" s="18">
        <f>+Q55-P55</f>
        <v>-0.18390531837940216</v>
      </c>
    </row>
    <row r="56" spans="1:18" x14ac:dyDescent="0.2">
      <c r="G56" s="40"/>
      <c r="H56" s="40"/>
      <c r="J56" s="40"/>
      <c r="L56" s="40"/>
      <c r="M56" s="40"/>
      <c r="P56"/>
    </row>
    <row r="57" spans="1:18" s="4" customFormat="1" x14ac:dyDescent="0.2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12">
        <v>6.5000000000000002E-2</v>
      </c>
      <c r="I57" s="12">
        <v>6.5000000000000002E-2</v>
      </c>
      <c r="J57" s="74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38"/>
    </row>
    <row r="58" spans="1:18" s="4" customFormat="1" x14ac:dyDescent="0.2">
      <c r="A58" s="33" t="s">
        <v>123</v>
      </c>
      <c r="C58" s="46">
        <v>1.5E-3</v>
      </c>
      <c r="D58" s="73"/>
      <c r="E58" s="9"/>
      <c r="F58" s="9"/>
      <c r="G58" s="9"/>
      <c r="H58" s="9"/>
      <c r="I58" s="9"/>
      <c r="J58" s="43"/>
      <c r="M58" s="36"/>
      <c r="P58" s="38"/>
    </row>
    <row r="59" spans="1:18" s="4" customFormat="1" x14ac:dyDescent="0.2">
      <c r="A59" s="8"/>
      <c r="C59" s="4">
        <v>458</v>
      </c>
      <c r="D59" s="4" t="s">
        <v>66</v>
      </c>
      <c r="J59" s="36"/>
      <c r="P59"/>
    </row>
    <row r="60" spans="1:18" x14ac:dyDescent="0.2">
      <c r="J60" s="40"/>
    </row>
    <row r="61" spans="1:18" x14ac:dyDescent="0.2">
      <c r="C61" s="36" t="s">
        <v>89</v>
      </c>
      <c r="D61" s="17" t="s">
        <v>90</v>
      </c>
      <c r="J61" s="40"/>
    </row>
    <row r="62" spans="1:18" x14ac:dyDescent="0.2">
      <c r="C62" s="37"/>
      <c r="D62" s="17" t="str">
        <f>+'New Albany'!D62</f>
        <v>Input from WestLB statements for each month's actuals (1/99 - 5/99)</v>
      </c>
    </row>
    <row r="64" spans="1:18" s="6" customFormat="1" x14ac:dyDescent="0.2">
      <c r="A64" s="66"/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7"/>
    </row>
    <row r="65" spans="1:17" s="6" customFormat="1" x14ac:dyDescent="0.2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</row>
    <row r="66" spans="1:17" ht="19.5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9"/>
      <c r="Q66" s="20"/>
    </row>
    <row r="67" spans="1:17" x14ac:dyDescent="0.2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9"/>
      <c r="Q67" s="20"/>
    </row>
    <row r="68" spans="1:17" x14ac:dyDescent="0.2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9"/>
      <c r="Q68" s="20"/>
    </row>
    <row r="69" spans="1:17" x14ac:dyDescent="0.2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20"/>
    </row>
    <row r="70" spans="1:17" x14ac:dyDescent="0.2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20"/>
    </row>
    <row r="71" spans="1:17" x14ac:dyDescent="0.2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20"/>
    </row>
    <row r="72" spans="1:17" x14ac:dyDescent="0.2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72"/>
      <c r="Q72" s="20"/>
    </row>
    <row r="73" spans="1:17" x14ac:dyDescent="0.2">
      <c r="A73" s="20"/>
      <c r="B73" s="20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9"/>
      <c r="Q73" s="20"/>
    </row>
  </sheetData>
  <printOptions horizontalCentered="1"/>
  <pageMargins left="0.25" right="0.25" top="0.25" bottom="0.25" header="0.25" footer="0.5"/>
  <pageSetup scale="57" orientation="landscape" cellComments="asDisplayed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2"/>
  <sheetViews>
    <sheetView workbookViewId="0">
      <pane xSplit="2" ySplit="6" topLeftCell="M36" activePane="bottomRight" state="frozen"/>
      <selection activeCell="D3" sqref="D3"/>
      <selection pane="topRight" activeCell="D3" sqref="D3"/>
      <selection pane="bottomLeft" activeCell="D3" sqref="D3"/>
      <selection pane="bottomRight" activeCell="O42" sqref="O42"/>
    </sheetView>
  </sheetViews>
  <sheetFormatPr defaultRowHeight="12.75" x14ac:dyDescent="0.2"/>
  <cols>
    <col min="1" max="1" width="47.5703125" style="18" bestFit="1" customWidth="1"/>
    <col min="2" max="2" width="1.7109375" style="18" customWidth="1"/>
    <col min="3" max="3" width="16.85546875" style="4" customWidth="1"/>
    <col min="4" max="4" width="15" style="18" customWidth="1"/>
    <col min="5" max="5" width="14.28515625" style="18" customWidth="1"/>
    <col min="6" max="6" width="13.42578125" style="18" customWidth="1"/>
    <col min="7" max="7" width="14.5703125" style="18" customWidth="1"/>
    <col min="8" max="8" width="14.28515625" style="18" customWidth="1"/>
    <col min="9" max="9" width="14.85546875" style="18" customWidth="1"/>
    <col min="10" max="10" width="14.7109375" style="18" customWidth="1"/>
    <col min="11" max="12" width="14.85546875" style="18" customWidth="1"/>
    <col min="13" max="13" width="15.7109375" style="18" customWidth="1"/>
    <col min="14" max="15" width="15.28515625" style="18" customWidth="1"/>
    <col min="16" max="16" width="14.42578125" style="4" customWidth="1"/>
    <col min="17" max="17" width="12.28515625" style="18" bestFit="1" customWidth="1"/>
    <col min="18" max="18" width="13.85546875" style="18" customWidth="1"/>
    <col min="19" max="16384" width="9.140625" style="18"/>
  </cols>
  <sheetData>
    <row r="1" spans="1:18" s="2" customFormat="1" ht="15.75" x14ac:dyDescent="0.25">
      <c r="A1" s="1" t="s">
        <v>0</v>
      </c>
    </row>
    <row r="2" spans="1:18" s="2" customFormat="1" ht="15.75" x14ac:dyDescent="0.25">
      <c r="A2" s="1" t="s">
        <v>1</v>
      </c>
      <c r="D2" s="1" t="str">
        <f>+Brownsville!D2</f>
        <v>Last updated:  Actuals through December 17, 1999</v>
      </c>
      <c r="P2" s="25" t="str">
        <f ca="1">CELL("filename")</f>
        <v>O:\Fin_Ops\Engysvc\PowerPlants\TVA Plants\TVA Draw Schedules\[TVADraw122199.xls]Brownsville</v>
      </c>
    </row>
    <row r="3" spans="1:18" s="2" customFormat="1" ht="15.75" x14ac:dyDescent="0.25">
      <c r="A3" s="1" t="s">
        <v>76</v>
      </c>
      <c r="D3" s="26"/>
      <c r="F3" s="3"/>
      <c r="P3" s="24">
        <f ca="1">NOW()</f>
        <v>36515.443810763885</v>
      </c>
    </row>
    <row r="4" spans="1:18" ht="15" x14ac:dyDescent="0.2">
      <c r="C4" s="12"/>
      <c r="D4" s="27"/>
    </row>
    <row r="5" spans="1:18" s="6" customFormat="1" x14ac:dyDescent="0.2">
      <c r="A5" s="5"/>
      <c r="C5" s="7">
        <v>1998</v>
      </c>
      <c r="D5" s="75" t="s">
        <v>3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31"/>
    </row>
    <row r="6" spans="1:1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14" t="s">
        <v>5</v>
      </c>
    </row>
    <row r="7" spans="1:18" s="6" customFormat="1" ht="19.5" x14ac:dyDescent="0.55000000000000004">
      <c r="A7" s="34" t="s">
        <v>125</v>
      </c>
      <c r="N7" s="62"/>
      <c r="P7" s="10"/>
    </row>
    <row r="8" spans="1:18" s="6" customFormat="1" x14ac:dyDescent="0.2">
      <c r="A8" s="5" t="s">
        <v>87</v>
      </c>
      <c r="N8" s="62"/>
      <c r="P8" s="10"/>
    </row>
    <row r="9" spans="1:18" s="6" customFormat="1" x14ac:dyDescent="0.2">
      <c r="A9" s="5" t="s">
        <v>78</v>
      </c>
      <c r="G9" s="62"/>
      <c r="L9" s="62"/>
      <c r="M9" s="62"/>
      <c r="N9" s="62"/>
      <c r="P9" s="10"/>
    </row>
    <row r="10" spans="1:18" x14ac:dyDescent="0.2">
      <c r="A10" s="17" t="s">
        <v>88</v>
      </c>
      <c r="C10" s="36">
        <v>37377776</v>
      </c>
      <c r="D10" s="40">
        <v>6859220</v>
      </c>
      <c r="E10" s="40">
        <v>6859220</v>
      </c>
      <c r="F10" s="40">
        <v>12326714</v>
      </c>
      <c r="G10" s="40">
        <v>12919710</v>
      </c>
      <c r="H10" s="40">
        <v>15213392</v>
      </c>
      <c r="I10" s="8">
        <v>0</v>
      </c>
      <c r="J10" s="40">
        <v>0</v>
      </c>
      <c r="K10" s="40">
        <v>3280101</v>
      </c>
      <c r="L10" s="40">
        <v>0</v>
      </c>
      <c r="M10" s="40">
        <v>0</v>
      </c>
      <c r="N10" s="40">
        <v>4852796</v>
      </c>
      <c r="O10" s="8">
        <v>1940179</v>
      </c>
      <c r="P10" s="11">
        <f t="shared" ref="P10:P28" si="0">SUM(C10:O10)</f>
        <v>101629108</v>
      </c>
      <c r="Q10" s="18">
        <f>+[1]Caledonia!$AY$21</f>
        <v>101629107.92</v>
      </c>
      <c r="R10" s="18">
        <f>+Q10-P10</f>
        <v>-7.9999998211860657E-2</v>
      </c>
    </row>
    <row r="11" spans="1:18" x14ac:dyDescent="0.2">
      <c r="A11" s="17" t="s">
        <v>19</v>
      </c>
      <c r="C11" s="36">
        <v>1897561</v>
      </c>
      <c r="D11" s="40">
        <v>4007308</v>
      </c>
      <c r="E11" s="40">
        <v>0</v>
      </c>
      <c r="F11" s="40">
        <v>615000</v>
      </c>
      <c r="G11" s="40">
        <v>1398550</v>
      </c>
      <c r="H11" s="40">
        <v>821775</v>
      </c>
      <c r="I11" s="40">
        <v>445570</v>
      </c>
      <c r="J11" s="40">
        <v>0</v>
      </c>
      <c r="K11" s="40">
        <v>0</v>
      </c>
      <c r="L11" s="40">
        <v>1100956</v>
      </c>
      <c r="M11" s="40">
        <v>0</v>
      </c>
      <c r="N11" s="40">
        <v>0</v>
      </c>
      <c r="O11" s="18">
        <v>1</v>
      </c>
      <c r="P11" s="11">
        <f t="shared" si="0"/>
        <v>10286721</v>
      </c>
      <c r="Q11" s="18">
        <f>+[1]Caledonia!$AY$34</f>
        <v>10286721</v>
      </c>
      <c r="R11" s="18">
        <f t="shared" ref="R11:R26" si="1">+Q11-P11</f>
        <v>0</v>
      </c>
    </row>
    <row r="12" spans="1:18" x14ac:dyDescent="0.2">
      <c r="A12" s="17" t="s">
        <v>20</v>
      </c>
      <c r="C12" s="36">
        <v>232364</v>
      </c>
      <c r="D12" s="40">
        <v>0</v>
      </c>
      <c r="E12" s="40">
        <v>0</v>
      </c>
      <c r="F12" s="8">
        <v>0</v>
      </c>
      <c r="G12" s="40">
        <v>0</v>
      </c>
      <c r="H12" s="18">
        <v>0</v>
      </c>
      <c r="I12" s="40">
        <v>316915</v>
      </c>
      <c r="J12" s="40">
        <v>143865</v>
      </c>
      <c r="K12" s="40">
        <v>41523</v>
      </c>
      <c r="L12" s="40">
        <v>0</v>
      </c>
      <c r="M12" s="40">
        <v>27419</v>
      </c>
      <c r="N12" s="40">
        <v>10884</v>
      </c>
      <c r="O12" s="18">
        <f>1424+11560</f>
        <v>12984</v>
      </c>
      <c r="P12" s="11">
        <f t="shared" si="0"/>
        <v>785954</v>
      </c>
      <c r="Q12" s="18">
        <f>+[1]Caledonia!$AY$44</f>
        <v>785954.21</v>
      </c>
      <c r="R12" s="18">
        <f t="shared" si="1"/>
        <v>0.2099999999627471</v>
      </c>
    </row>
    <row r="13" spans="1:18" x14ac:dyDescent="0.2">
      <c r="A13" s="17" t="s">
        <v>21</v>
      </c>
      <c r="C13" s="36">
        <v>167072</v>
      </c>
      <c r="D13" s="40">
        <v>899776</v>
      </c>
      <c r="E13" s="40">
        <v>810086</v>
      </c>
      <c r="F13" s="40">
        <v>1831143</v>
      </c>
      <c r="G13" s="40">
        <v>0</v>
      </c>
      <c r="H13" s="40">
        <v>3372514</v>
      </c>
      <c r="I13" s="40">
        <v>2932107</v>
      </c>
      <c r="J13" s="40">
        <v>9360536</v>
      </c>
      <c r="K13" s="40">
        <v>4662889</v>
      </c>
      <c r="L13" s="40">
        <v>2317012</v>
      </c>
      <c r="M13" s="40">
        <v>1167995</v>
      </c>
      <c r="N13" s="40">
        <v>960719</v>
      </c>
      <c r="O13" s="18">
        <f>283000+546651-48651</f>
        <v>781000</v>
      </c>
      <c r="P13" s="11">
        <f t="shared" si="0"/>
        <v>29262849</v>
      </c>
      <c r="Q13" s="18">
        <f>+[1]Caledonia!$AY$117</f>
        <v>29262849.149999999</v>
      </c>
      <c r="R13" s="18">
        <f t="shared" si="1"/>
        <v>0.14999999850988388</v>
      </c>
    </row>
    <row r="14" spans="1:18" x14ac:dyDescent="0.2">
      <c r="A14" s="17" t="s">
        <v>42</v>
      </c>
      <c r="C14" s="36">
        <v>0</v>
      </c>
      <c r="D14" s="40">
        <v>0</v>
      </c>
      <c r="E14" s="40">
        <v>0</v>
      </c>
      <c r="F14" s="8">
        <v>0</v>
      </c>
      <c r="G14" s="40">
        <v>72162</v>
      </c>
      <c r="H14" s="40">
        <v>162075</v>
      </c>
      <c r="I14" s="40">
        <v>232977</v>
      </c>
      <c r="J14" s="40">
        <v>64037</v>
      </c>
      <c r="K14" s="40">
        <v>17168</v>
      </c>
      <c r="L14" s="40">
        <v>19696</v>
      </c>
      <c r="M14" s="40">
        <v>464</v>
      </c>
      <c r="N14" s="40">
        <v>0</v>
      </c>
      <c r="O14" s="18">
        <v>0</v>
      </c>
      <c r="P14" s="11">
        <f t="shared" si="0"/>
        <v>568579</v>
      </c>
      <c r="Q14" s="18">
        <f>+[1]Caledonia!$AY$123</f>
        <v>568579.43999999994</v>
      </c>
      <c r="R14" s="18">
        <f t="shared" si="1"/>
        <v>0.43999999994412065</v>
      </c>
    </row>
    <row r="15" spans="1:18" x14ac:dyDescent="0.2">
      <c r="A15" s="17" t="s">
        <v>22</v>
      </c>
      <c r="C15" s="36">
        <v>0</v>
      </c>
      <c r="D15" s="40">
        <v>0</v>
      </c>
      <c r="E15" s="40">
        <v>0</v>
      </c>
      <c r="F15" s="8">
        <v>0</v>
      </c>
      <c r="G15" s="40">
        <v>0</v>
      </c>
      <c r="H15" s="40">
        <v>0</v>
      </c>
      <c r="I15" s="18">
        <v>0</v>
      </c>
      <c r="J15" s="40">
        <v>0</v>
      </c>
      <c r="K15" s="40">
        <v>157467</v>
      </c>
      <c r="L15" s="40">
        <v>525706</v>
      </c>
      <c r="M15" s="40">
        <v>11614</v>
      </c>
      <c r="N15" s="40">
        <v>1988</v>
      </c>
      <c r="O15" s="18">
        <v>91025</v>
      </c>
      <c r="P15" s="11">
        <f t="shared" si="0"/>
        <v>787800</v>
      </c>
      <c r="Q15" s="18">
        <f>+[1]Caledonia!$AY$125</f>
        <v>787800</v>
      </c>
      <c r="R15" s="18">
        <f t="shared" si="1"/>
        <v>0</v>
      </c>
    </row>
    <row r="16" spans="1:18" x14ac:dyDescent="0.2">
      <c r="A16" s="17" t="s">
        <v>23</v>
      </c>
      <c r="C16" s="36">
        <v>532310</v>
      </c>
      <c r="D16" s="40">
        <v>0</v>
      </c>
      <c r="E16" s="40">
        <v>0</v>
      </c>
      <c r="F16" s="40">
        <v>22050</v>
      </c>
      <c r="G16" s="40">
        <v>0</v>
      </c>
      <c r="H16" s="40">
        <v>3333</v>
      </c>
      <c r="I16" s="17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18">
        <v>0</v>
      </c>
      <c r="P16" s="11">
        <f t="shared" si="0"/>
        <v>557693</v>
      </c>
      <c r="Q16" s="18">
        <f>+[1]Caledonia!$AY$136</f>
        <v>557693.32999999996</v>
      </c>
      <c r="R16" s="18">
        <f t="shared" si="1"/>
        <v>0.32999999995809048</v>
      </c>
    </row>
    <row r="17" spans="1:18" x14ac:dyDescent="0.2">
      <c r="A17" s="17" t="s">
        <v>24</v>
      </c>
      <c r="C17" s="36">
        <v>207085</v>
      </c>
      <c r="D17" s="40">
        <v>0</v>
      </c>
      <c r="E17" s="40">
        <v>0</v>
      </c>
      <c r="F17" s="8">
        <v>0</v>
      </c>
      <c r="G17" s="40">
        <v>0</v>
      </c>
      <c r="H17" s="40">
        <v>29791</v>
      </c>
      <c r="I17" s="17">
        <v>0</v>
      </c>
      <c r="J17" s="40">
        <v>0</v>
      </c>
      <c r="K17" s="40">
        <v>227</v>
      </c>
      <c r="L17" s="40">
        <v>0</v>
      </c>
      <c r="M17" s="40">
        <v>250</v>
      </c>
      <c r="N17" s="40">
        <v>0</v>
      </c>
      <c r="O17" s="18">
        <v>0</v>
      </c>
      <c r="P17" s="11">
        <f t="shared" si="0"/>
        <v>237353</v>
      </c>
      <c r="Q17" s="18">
        <f>+[1]Caledonia!$AY$138</f>
        <v>237352.65</v>
      </c>
      <c r="R17" s="18">
        <f t="shared" si="1"/>
        <v>-0.35000000000582077</v>
      </c>
    </row>
    <row r="18" spans="1:18" x14ac:dyDescent="0.2">
      <c r="A18" s="17" t="s">
        <v>25</v>
      </c>
      <c r="C18" s="36">
        <v>738500</v>
      </c>
      <c r="D18" s="40">
        <v>0</v>
      </c>
      <c r="E18" s="40">
        <v>242359</v>
      </c>
      <c r="F18" s="8">
        <v>0</v>
      </c>
      <c r="G18" s="40">
        <v>0</v>
      </c>
      <c r="H18" s="40">
        <v>0</v>
      </c>
      <c r="I18" s="18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18">
        <v>141</v>
      </c>
      <c r="P18" s="11">
        <f t="shared" si="0"/>
        <v>981000</v>
      </c>
      <c r="Q18" s="18">
        <f>+[1]Caledonia!$AY$141</f>
        <v>981000</v>
      </c>
      <c r="R18" s="18">
        <f t="shared" si="1"/>
        <v>0</v>
      </c>
    </row>
    <row r="19" spans="1:18" x14ac:dyDescent="0.2">
      <c r="A19" s="17" t="s">
        <v>26</v>
      </c>
      <c r="C19" s="36">
        <v>0</v>
      </c>
      <c r="D19" s="40">
        <v>110523</v>
      </c>
      <c r="E19" s="40">
        <v>0</v>
      </c>
      <c r="F19" s="8">
        <v>0</v>
      </c>
      <c r="G19" s="40">
        <v>1651484</v>
      </c>
      <c r="H19" s="40">
        <v>0</v>
      </c>
      <c r="I19" s="40">
        <v>59847</v>
      </c>
      <c r="J19" s="40">
        <v>230834</v>
      </c>
      <c r="K19" s="40">
        <v>864906</v>
      </c>
      <c r="L19" s="40">
        <v>146302</v>
      </c>
      <c r="M19" s="40">
        <v>0</v>
      </c>
      <c r="N19" s="40">
        <v>3218</v>
      </c>
      <c r="O19" s="18">
        <v>440706</v>
      </c>
      <c r="P19" s="11">
        <f t="shared" si="0"/>
        <v>3507820</v>
      </c>
      <c r="Q19" s="18">
        <f>+[1]Caledonia!$AY$148</f>
        <v>3507819.8760000002</v>
      </c>
      <c r="R19" s="18">
        <f t="shared" si="1"/>
        <v>-0.12399999983608723</v>
      </c>
    </row>
    <row r="20" spans="1:18" x14ac:dyDescent="0.2">
      <c r="A20" s="17" t="s">
        <v>27</v>
      </c>
      <c r="C20" s="36">
        <v>0</v>
      </c>
      <c r="D20" s="40">
        <v>0</v>
      </c>
      <c r="E20" s="40">
        <v>0</v>
      </c>
      <c r="F20" s="8">
        <v>0</v>
      </c>
      <c r="G20" s="40">
        <v>10000</v>
      </c>
      <c r="H20" s="40">
        <v>53741</v>
      </c>
      <c r="I20" s="40">
        <v>61014</v>
      </c>
      <c r="J20" s="40">
        <v>11281</v>
      </c>
      <c r="K20" s="17">
        <v>0</v>
      </c>
      <c r="L20" s="40">
        <v>0</v>
      </c>
      <c r="M20" s="40">
        <v>0</v>
      </c>
      <c r="N20" s="40">
        <v>0</v>
      </c>
      <c r="O20" s="18">
        <v>0</v>
      </c>
      <c r="P20" s="11">
        <f t="shared" si="0"/>
        <v>136036</v>
      </c>
      <c r="Q20" s="18">
        <f>+[1]Caledonia!$AY$194</f>
        <v>136036.07</v>
      </c>
      <c r="R20" s="18">
        <f t="shared" si="1"/>
        <v>7.0000000006984919E-2</v>
      </c>
    </row>
    <row r="21" spans="1:18" x14ac:dyDescent="0.2">
      <c r="A21" s="17" t="s">
        <v>28</v>
      </c>
      <c r="C21" s="36">
        <v>280627</v>
      </c>
      <c r="D21" s="40">
        <v>6383</v>
      </c>
      <c r="E21" s="40">
        <v>0</v>
      </c>
      <c r="F21" s="8">
        <v>0</v>
      </c>
      <c r="G21" s="40">
        <v>0</v>
      </c>
      <c r="H21" s="40">
        <v>0</v>
      </c>
      <c r="I21" s="18">
        <v>0</v>
      </c>
      <c r="J21" s="40">
        <v>85968</v>
      </c>
      <c r="K21" s="18">
        <v>0</v>
      </c>
      <c r="L21" s="40">
        <v>0</v>
      </c>
      <c r="M21" s="40">
        <v>0</v>
      </c>
      <c r="N21" s="40">
        <v>0</v>
      </c>
      <c r="O21" s="18">
        <v>-272978</v>
      </c>
      <c r="P21" s="11">
        <f t="shared" si="0"/>
        <v>100000</v>
      </c>
      <c r="Q21" s="18">
        <f>+[1]Caledonia!$AY$150</f>
        <v>99999.999999999942</v>
      </c>
      <c r="R21" s="18">
        <f t="shared" si="1"/>
        <v>0</v>
      </c>
    </row>
    <row r="22" spans="1:18" x14ac:dyDescent="0.2">
      <c r="A22" s="17" t="s">
        <v>48</v>
      </c>
      <c r="C22" s="36">
        <f>93542+479</f>
        <v>94021</v>
      </c>
      <c r="D22" s="40">
        <v>0</v>
      </c>
      <c r="E22" s="40">
        <v>0</v>
      </c>
      <c r="F22" s="8">
        <v>0</v>
      </c>
      <c r="G22" s="40">
        <v>0</v>
      </c>
      <c r="H22" s="40">
        <v>0</v>
      </c>
      <c r="I22" s="18">
        <v>0</v>
      </c>
      <c r="J22" s="18">
        <v>0</v>
      </c>
      <c r="K22" s="18">
        <v>0</v>
      </c>
      <c r="L22" s="40">
        <v>0</v>
      </c>
      <c r="M22" s="40">
        <v>0</v>
      </c>
      <c r="N22" s="40">
        <v>0</v>
      </c>
      <c r="O22" s="18">
        <v>0</v>
      </c>
      <c r="P22" s="11">
        <f t="shared" si="0"/>
        <v>94021</v>
      </c>
      <c r="Q22" s="18">
        <f>+[1]Caledonia!$AY$171</f>
        <v>94021</v>
      </c>
      <c r="R22" s="18">
        <f t="shared" si="1"/>
        <v>0</v>
      </c>
    </row>
    <row r="23" spans="1:18" x14ac:dyDescent="0.2">
      <c r="A23" s="17" t="s">
        <v>29</v>
      </c>
      <c r="C23" s="36">
        <v>0</v>
      </c>
      <c r="D23" s="40">
        <v>145042</v>
      </c>
      <c r="E23" s="40">
        <v>0</v>
      </c>
      <c r="F23" s="8">
        <v>0</v>
      </c>
      <c r="G23" s="40">
        <v>0</v>
      </c>
      <c r="H23" s="40">
        <v>0</v>
      </c>
      <c r="I23" s="18">
        <v>0</v>
      </c>
      <c r="J23" s="40">
        <f>21931+16702</f>
        <v>38633</v>
      </c>
      <c r="K23" s="18">
        <v>0</v>
      </c>
      <c r="L23" s="40">
        <v>38633</v>
      </c>
      <c r="M23" s="40">
        <v>0</v>
      </c>
      <c r="N23" s="40">
        <v>0</v>
      </c>
      <c r="O23" s="18">
        <v>2615</v>
      </c>
      <c r="P23" s="11">
        <f t="shared" si="0"/>
        <v>224923</v>
      </c>
      <c r="Q23" s="18">
        <f>+[1]Caledonia!$AY$152</f>
        <v>224923</v>
      </c>
      <c r="R23" s="18">
        <f t="shared" si="1"/>
        <v>0</v>
      </c>
    </row>
    <row r="24" spans="1:18" x14ac:dyDescent="0.2">
      <c r="A24" s="17" t="s">
        <v>30</v>
      </c>
      <c r="C24" s="36">
        <v>0</v>
      </c>
      <c r="D24" s="40">
        <v>0</v>
      </c>
      <c r="E24" s="40">
        <v>8735</v>
      </c>
      <c r="F24" s="8">
        <v>0</v>
      </c>
      <c r="G24" s="40">
        <v>5963</v>
      </c>
      <c r="H24" s="40">
        <v>23696</v>
      </c>
      <c r="I24" s="40">
        <v>9719</v>
      </c>
      <c r="J24" s="40">
        <v>5091</v>
      </c>
      <c r="K24" s="18">
        <v>0</v>
      </c>
      <c r="L24" s="40">
        <v>0</v>
      </c>
      <c r="M24" s="40">
        <v>0</v>
      </c>
      <c r="N24" s="40">
        <v>0</v>
      </c>
      <c r="O24" s="18">
        <v>0</v>
      </c>
      <c r="P24" s="11">
        <f t="shared" si="0"/>
        <v>53204</v>
      </c>
      <c r="Q24" s="18">
        <f>+[1]Caledonia!$AY$154</f>
        <v>53203.58</v>
      </c>
      <c r="R24" s="18">
        <f t="shared" si="1"/>
        <v>-0.41999999999825377</v>
      </c>
    </row>
    <row r="25" spans="1:18" x14ac:dyDescent="0.2">
      <c r="A25" s="17" t="s">
        <v>32</v>
      </c>
      <c r="C25" s="36">
        <f>75528+6111</f>
        <v>81639</v>
      </c>
      <c r="D25" s="40">
        <v>27824</v>
      </c>
      <c r="E25" s="40">
        <f>3333+368</f>
        <v>3701</v>
      </c>
      <c r="F25" s="40">
        <v>-21839</v>
      </c>
      <c r="G25" s="40">
        <v>2188</v>
      </c>
      <c r="H25" s="40">
        <v>205652</v>
      </c>
      <c r="I25" s="40">
        <v>74162</v>
      </c>
      <c r="J25" s="40">
        <v>109970</v>
      </c>
      <c r="K25" s="40">
        <v>67695</v>
      </c>
      <c r="L25" s="40">
        <v>29497</v>
      </c>
      <c r="M25" s="40">
        <v>3271</v>
      </c>
      <c r="N25" s="40">
        <v>163989</v>
      </c>
      <c r="O25" s="18">
        <v>-6113</v>
      </c>
      <c r="P25" s="11">
        <f t="shared" si="0"/>
        <v>741636</v>
      </c>
      <c r="Q25" s="18">
        <f>+[1]Caledonia!$AY$184</f>
        <v>741635.96</v>
      </c>
      <c r="R25" s="18">
        <f t="shared" si="1"/>
        <v>-4.0000000037252903E-2</v>
      </c>
    </row>
    <row r="26" spans="1:18" x14ac:dyDescent="0.2">
      <c r="A26" s="17" t="s">
        <v>33</v>
      </c>
      <c r="C26" s="36">
        <v>105274</v>
      </c>
      <c r="D26" s="40">
        <v>6484</v>
      </c>
      <c r="E26" s="40">
        <f>150775+1</f>
        <v>150776</v>
      </c>
      <c r="F26" s="8">
        <v>0</v>
      </c>
      <c r="G26" s="40">
        <v>0</v>
      </c>
      <c r="H26" s="40">
        <f>221476-1</f>
        <v>221475</v>
      </c>
      <c r="I26" s="40">
        <f>86054-86054</f>
        <v>0</v>
      </c>
      <c r="J26" s="40">
        <f>51988-1</f>
        <v>51987</v>
      </c>
      <c r="K26" s="18">
        <v>0</v>
      </c>
      <c r="L26" s="40">
        <v>33731</v>
      </c>
      <c r="M26" s="40">
        <v>3474</v>
      </c>
      <c r="N26" s="40">
        <v>8180</v>
      </c>
      <c r="O26" s="18">
        <v>1</v>
      </c>
      <c r="P26" s="11">
        <f t="shared" si="0"/>
        <v>581382</v>
      </c>
      <c r="Q26" s="18">
        <f>+[1]Caledonia!$AY$192</f>
        <v>581382.25</v>
      </c>
      <c r="R26" s="18">
        <f t="shared" si="1"/>
        <v>0.25</v>
      </c>
    </row>
    <row r="27" spans="1:18" x14ac:dyDescent="0.2">
      <c r="A27" s="17" t="s">
        <v>81</v>
      </c>
      <c r="C27" s="36">
        <v>0</v>
      </c>
      <c r="D27" s="40">
        <v>0</v>
      </c>
      <c r="E27" s="40">
        <v>0</v>
      </c>
      <c r="F27" s="8">
        <v>0</v>
      </c>
      <c r="G27" s="40">
        <v>0</v>
      </c>
      <c r="H27" s="40">
        <v>0</v>
      </c>
      <c r="I27" s="40">
        <v>0</v>
      </c>
      <c r="J27" s="40"/>
      <c r="L27" s="40">
        <v>0</v>
      </c>
      <c r="M27" s="40">
        <v>0</v>
      </c>
      <c r="N27" s="40">
        <v>0</v>
      </c>
      <c r="O27" s="18">
        <v>0</v>
      </c>
      <c r="P27" s="11">
        <f t="shared" si="0"/>
        <v>0</v>
      </c>
    </row>
    <row r="28" spans="1:18" x14ac:dyDescent="0.2">
      <c r="A28" s="17" t="s">
        <v>63</v>
      </c>
      <c r="C28" s="41">
        <f t="shared" ref="C28:O28" si="2">SUM(C10:C27)</f>
        <v>41714229</v>
      </c>
      <c r="D28" s="41">
        <f t="shared" si="2"/>
        <v>12062560</v>
      </c>
      <c r="E28" s="41">
        <f t="shared" si="2"/>
        <v>8074877</v>
      </c>
      <c r="F28" s="41">
        <f t="shared" si="2"/>
        <v>14773068</v>
      </c>
      <c r="G28" s="41">
        <f t="shared" si="2"/>
        <v>16060057</v>
      </c>
      <c r="H28" s="41">
        <f t="shared" si="2"/>
        <v>20107444</v>
      </c>
      <c r="I28" s="41">
        <f t="shared" si="2"/>
        <v>4132311</v>
      </c>
      <c r="J28" s="41">
        <f t="shared" si="2"/>
        <v>10102202</v>
      </c>
      <c r="K28" s="41">
        <f t="shared" si="2"/>
        <v>9091976</v>
      </c>
      <c r="L28" s="41">
        <f t="shared" si="2"/>
        <v>4211533</v>
      </c>
      <c r="M28" s="41">
        <f t="shared" si="2"/>
        <v>1214487</v>
      </c>
      <c r="N28" s="41">
        <f t="shared" si="2"/>
        <v>6001774</v>
      </c>
      <c r="O28" s="21">
        <f t="shared" si="2"/>
        <v>2989561</v>
      </c>
      <c r="P28" s="22">
        <f t="shared" si="0"/>
        <v>150536079</v>
      </c>
    </row>
    <row r="29" spans="1:18" x14ac:dyDescent="0.2">
      <c r="A29" s="17" t="s">
        <v>67</v>
      </c>
      <c r="C29" s="41">
        <f>+C28</f>
        <v>41714229</v>
      </c>
      <c r="D29" s="41">
        <f t="shared" ref="D29:O29" si="3">+C29+D28</f>
        <v>53776789</v>
      </c>
      <c r="E29" s="41">
        <f t="shared" si="3"/>
        <v>61851666</v>
      </c>
      <c r="F29" s="41">
        <f t="shared" si="3"/>
        <v>76624734</v>
      </c>
      <c r="G29" s="41">
        <f t="shared" si="3"/>
        <v>92684791</v>
      </c>
      <c r="H29" s="41">
        <f t="shared" si="3"/>
        <v>112792235</v>
      </c>
      <c r="I29" s="41">
        <f t="shared" si="3"/>
        <v>116924546</v>
      </c>
      <c r="J29" s="41">
        <f t="shared" si="3"/>
        <v>127026748</v>
      </c>
      <c r="K29" s="41">
        <f t="shared" si="3"/>
        <v>136118724</v>
      </c>
      <c r="L29" s="41">
        <f t="shared" si="3"/>
        <v>140330257</v>
      </c>
      <c r="M29" s="41">
        <f t="shared" si="3"/>
        <v>141544744</v>
      </c>
      <c r="N29" s="41">
        <f t="shared" si="3"/>
        <v>147546518</v>
      </c>
      <c r="O29" s="21">
        <f t="shared" si="3"/>
        <v>150536079</v>
      </c>
      <c r="P29" s="13"/>
    </row>
    <row r="30" spans="1:18" x14ac:dyDescent="0.2">
      <c r="A30" s="17" t="s">
        <v>64</v>
      </c>
      <c r="C30" s="36"/>
      <c r="D30" s="40"/>
      <c r="E30" s="40"/>
      <c r="F30" s="8"/>
      <c r="G30" s="40"/>
      <c r="H30" s="40"/>
      <c r="I30" s="40"/>
      <c r="J30" s="40"/>
      <c r="K30" s="40"/>
      <c r="L30" s="40"/>
      <c r="M30" s="40"/>
      <c r="N30" s="40"/>
      <c r="P30" s="16">
        <f>+P28/C59/1000</f>
        <v>340.57936425339369</v>
      </c>
    </row>
    <row r="31" spans="1:18" x14ac:dyDescent="0.2"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P31" s="11"/>
    </row>
    <row r="32" spans="1:18" x14ac:dyDescent="0.2">
      <c r="A32" s="17" t="s">
        <v>44</v>
      </c>
      <c r="C32" s="42">
        <f>2084658-1075020+3412</f>
        <v>1013050</v>
      </c>
      <c r="D32" s="42">
        <f>315367+27457</f>
        <v>342824</v>
      </c>
      <c r="E32" s="42">
        <f>SUM($C48:D48)*E57/360*30</f>
        <v>321299.91888809163</v>
      </c>
      <c r="F32" s="42">
        <f>SUM($C48:E48)*F57/360*28</f>
        <v>443917.85361798003</v>
      </c>
      <c r="G32" s="42">
        <f>SUM($C48:F48)*G57/360*33</f>
        <v>528055.68486470252</v>
      </c>
      <c r="H32" s="42">
        <v>124517</v>
      </c>
      <c r="I32" s="42">
        <v>725143</v>
      </c>
      <c r="J32" s="42">
        <v>684126</v>
      </c>
      <c r="K32" s="42">
        <v>-684126</v>
      </c>
      <c r="L32" s="40">
        <v>-326769</v>
      </c>
      <c r="M32" s="40">
        <v>0</v>
      </c>
      <c r="N32" s="40">
        <v>0</v>
      </c>
      <c r="O32" s="18">
        <v>0</v>
      </c>
      <c r="P32" s="11">
        <f t="shared" ref="P32:P38" si="4">SUM(C32:O32)</f>
        <v>3172038.4573707744</v>
      </c>
      <c r="Q32" s="18">
        <f>+[1]Caledonia!$AY$156</f>
        <v>3172038.28</v>
      </c>
      <c r="R32" s="18">
        <f>+P32-Q32</f>
        <v>0.17737077455967665</v>
      </c>
    </row>
    <row r="33" spans="1:18" x14ac:dyDescent="0.2">
      <c r="A33" s="17" t="s">
        <v>93</v>
      </c>
      <c r="C33" s="42"/>
      <c r="D33" s="42"/>
      <c r="E33" s="42"/>
      <c r="F33" s="42">
        <v>-309104</v>
      </c>
      <c r="G33" s="42">
        <v>-117884</v>
      </c>
      <c r="H33" s="42"/>
      <c r="I33" s="42"/>
      <c r="J33" s="42"/>
      <c r="K33" s="42"/>
      <c r="L33" s="40"/>
      <c r="M33" s="40"/>
      <c r="N33" s="40"/>
      <c r="P33" s="11">
        <f t="shared" si="4"/>
        <v>-426988</v>
      </c>
      <c r="Q33" s="18">
        <f>+[1]Caledonia!$AY$157</f>
        <v>-426988</v>
      </c>
      <c r="R33" s="18">
        <f>+P33-Q33</f>
        <v>0</v>
      </c>
    </row>
    <row r="34" spans="1:18" x14ac:dyDescent="0.2">
      <c r="A34" s="17" t="s">
        <v>75</v>
      </c>
      <c r="C34" s="42">
        <v>0</v>
      </c>
      <c r="D34" s="42">
        <v>11785.189</v>
      </c>
      <c r="E34" s="42">
        <v>10279.417625</v>
      </c>
      <c r="F34" s="42">
        <v>6207.3997500000005</v>
      </c>
      <c r="G34" s="42">
        <v>6088.6341250000005</v>
      </c>
      <c r="H34" s="42">
        <v>5897</v>
      </c>
      <c r="I34" s="42"/>
      <c r="J34" s="42"/>
      <c r="K34" s="42"/>
      <c r="L34" s="42"/>
      <c r="M34" s="42"/>
      <c r="N34" s="42">
        <v>0</v>
      </c>
      <c r="O34" s="28">
        <v>0</v>
      </c>
      <c r="P34" s="11">
        <f t="shared" si="4"/>
        <v>40257.640500000001</v>
      </c>
      <c r="Q34" s="18">
        <f>+[1]Caledonia!$AY$158</f>
        <v>40258</v>
      </c>
      <c r="R34" s="18">
        <f>+P34-Q34</f>
        <v>-0.35949999999866122</v>
      </c>
    </row>
    <row r="35" spans="1:18" x14ac:dyDescent="0.2">
      <c r="A35" s="17" t="s">
        <v>94</v>
      </c>
      <c r="C35" s="42"/>
      <c r="D35" s="42"/>
      <c r="E35" s="42"/>
      <c r="F35" s="42">
        <v>-5266</v>
      </c>
      <c r="G35" s="42">
        <f>13200</f>
        <v>13200</v>
      </c>
      <c r="H35" s="42">
        <f>-18334</f>
        <v>-18334</v>
      </c>
      <c r="I35" s="42">
        <v>0</v>
      </c>
      <c r="J35" s="42"/>
      <c r="K35" s="42">
        <v>0</v>
      </c>
      <c r="L35" s="42">
        <v>0</v>
      </c>
      <c r="M35" s="42">
        <v>0</v>
      </c>
      <c r="N35" s="42">
        <v>0</v>
      </c>
      <c r="O35" s="28">
        <v>1</v>
      </c>
      <c r="P35" s="11">
        <f t="shared" si="4"/>
        <v>-10399</v>
      </c>
      <c r="Q35" s="18">
        <f>+[1]Caledonia!$AY$159</f>
        <v>-10399.469999999999</v>
      </c>
      <c r="R35" s="18">
        <f>+P35-Q35</f>
        <v>0.46999999999934516</v>
      </c>
    </row>
    <row r="36" spans="1:18" x14ac:dyDescent="0.2">
      <c r="A36" s="17" t="s">
        <v>31</v>
      </c>
      <c r="C36" s="40">
        <v>68386</v>
      </c>
      <c r="D36" s="40">
        <v>942288</v>
      </c>
      <c r="E36" s="40">
        <v>0</v>
      </c>
      <c r="F36" s="40">
        <v>0</v>
      </c>
      <c r="G36" s="40">
        <v>0</v>
      </c>
      <c r="H36" s="40">
        <v>83333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83333</v>
      </c>
      <c r="O36" s="18">
        <v>107680</v>
      </c>
      <c r="P36" s="11">
        <f t="shared" si="4"/>
        <v>1285020</v>
      </c>
      <c r="Q36" s="18">
        <f>+[1]Caledonia!$AY$169</f>
        <v>1285019.7133333331</v>
      </c>
      <c r="R36" s="18">
        <f>+P36-Q36</f>
        <v>0.28666666685603559</v>
      </c>
    </row>
    <row r="37" spans="1:18" x14ac:dyDescent="0.2">
      <c r="A37" s="17" t="s">
        <v>80</v>
      </c>
      <c r="C37" s="43"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0"/>
      <c r="P37" s="11">
        <f t="shared" si="4"/>
        <v>0</v>
      </c>
    </row>
    <row r="38" spans="1:18" x14ac:dyDescent="0.2">
      <c r="A38" s="17" t="s">
        <v>65</v>
      </c>
      <c r="C38" s="41">
        <f t="shared" ref="C38:O38" si="5">SUM(C32:C37)</f>
        <v>1081436</v>
      </c>
      <c r="D38" s="41">
        <f t="shared" si="5"/>
        <v>1296897.189</v>
      </c>
      <c r="E38" s="41">
        <f t="shared" si="5"/>
        <v>331579.33651309164</v>
      </c>
      <c r="F38" s="41">
        <f t="shared" si="5"/>
        <v>135755.25336798004</v>
      </c>
      <c r="G38" s="41">
        <f t="shared" si="5"/>
        <v>429460.3189897025</v>
      </c>
      <c r="H38" s="41">
        <f t="shared" si="5"/>
        <v>195413</v>
      </c>
      <c r="I38" s="41">
        <f t="shared" si="5"/>
        <v>725143</v>
      </c>
      <c r="J38" s="41">
        <f t="shared" si="5"/>
        <v>684126</v>
      </c>
      <c r="K38" s="41">
        <f t="shared" si="5"/>
        <v>-684126</v>
      </c>
      <c r="L38" s="41">
        <f t="shared" si="5"/>
        <v>-326769</v>
      </c>
      <c r="M38" s="41">
        <f t="shared" si="5"/>
        <v>0</v>
      </c>
      <c r="N38" s="41">
        <f t="shared" si="5"/>
        <v>83333</v>
      </c>
      <c r="O38" s="21">
        <f t="shared" si="5"/>
        <v>107681</v>
      </c>
      <c r="P38" s="22">
        <f t="shared" si="4"/>
        <v>4059929.0978707746</v>
      </c>
    </row>
    <row r="39" spans="1:18" x14ac:dyDescent="0.2">
      <c r="A39" s="17" t="s">
        <v>68</v>
      </c>
      <c r="C39" s="41">
        <f>+C38</f>
        <v>1081436</v>
      </c>
      <c r="D39" s="41">
        <f t="shared" ref="D39:O39" si="6">+D38+C39</f>
        <v>2378333.1890000002</v>
      </c>
      <c r="E39" s="41">
        <f t="shared" si="6"/>
        <v>2709912.5255130921</v>
      </c>
      <c r="F39" s="41">
        <f t="shared" si="6"/>
        <v>2845667.7788810721</v>
      </c>
      <c r="G39" s="41">
        <f t="shared" si="6"/>
        <v>3275128.0978707746</v>
      </c>
      <c r="H39" s="41">
        <f t="shared" si="6"/>
        <v>3470541.0978707746</v>
      </c>
      <c r="I39" s="41">
        <f t="shared" si="6"/>
        <v>4195684.0978707746</v>
      </c>
      <c r="J39" s="41">
        <f t="shared" si="6"/>
        <v>4879810.0978707746</v>
      </c>
      <c r="K39" s="41">
        <f t="shared" si="6"/>
        <v>4195684.0978707746</v>
      </c>
      <c r="L39" s="41">
        <f t="shared" si="6"/>
        <v>3868915.0978707746</v>
      </c>
      <c r="M39" s="41">
        <f t="shared" si="6"/>
        <v>3868915.0978707746</v>
      </c>
      <c r="N39" s="41">
        <f t="shared" si="6"/>
        <v>3952248.0978707746</v>
      </c>
      <c r="O39" s="21">
        <f t="shared" si="6"/>
        <v>4059929.0978707746</v>
      </c>
      <c r="P39" s="11"/>
    </row>
    <row r="40" spans="1:18" x14ac:dyDescent="0.2">
      <c r="A40" s="17"/>
      <c r="C40" s="43"/>
      <c r="D40" s="42"/>
      <c r="E40" s="42"/>
      <c r="F40" s="20"/>
      <c r="G40" s="42"/>
      <c r="H40" s="42"/>
      <c r="I40" s="42"/>
      <c r="J40" s="42"/>
      <c r="K40" s="42"/>
      <c r="L40" s="42"/>
      <c r="M40" s="42"/>
      <c r="N40" s="42"/>
      <c r="O40" s="20"/>
      <c r="P40" s="11"/>
    </row>
    <row r="41" spans="1:18" s="4" customFormat="1" x14ac:dyDescent="0.2">
      <c r="A41" s="4" t="s">
        <v>85</v>
      </c>
      <c r="C41" s="36">
        <f t="shared" ref="C41:O41" si="7">+C28+C38</f>
        <v>42795665</v>
      </c>
      <c r="D41" s="36">
        <f t="shared" si="7"/>
        <v>13359457.188999999</v>
      </c>
      <c r="E41" s="36">
        <f t="shared" si="7"/>
        <v>8406456.3365130909</v>
      </c>
      <c r="F41" s="36">
        <f t="shared" si="7"/>
        <v>14908823.253367981</v>
      </c>
      <c r="G41" s="36">
        <f t="shared" si="7"/>
        <v>16489517.318989702</v>
      </c>
      <c r="H41" s="36">
        <f t="shared" si="7"/>
        <v>20302857</v>
      </c>
      <c r="I41" s="36">
        <f t="shared" si="7"/>
        <v>4857454</v>
      </c>
      <c r="J41" s="36">
        <f t="shared" si="7"/>
        <v>10786328</v>
      </c>
      <c r="K41" s="36">
        <f>ROUND(+K28+K38,0)+1</f>
        <v>8407851</v>
      </c>
      <c r="L41" s="36">
        <f t="shared" si="7"/>
        <v>3884764</v>
      </c>
      <c r="M41" s="36">
        <f t="shared" si="7"/>
        <v>1214487</v>
      </c>
      <c r="N41" s="36">
        <f t="shared" si="7"/>
        <v>6085107</v>
      </c>
      <c r="O41" s="4">
        <f t="shared" si="7"/>
        <v>3097242</v>
      </c>
      <c r="P41" s="11">
        <f>SUM(C41:O41)</f>
        <v>154596009.09787077</v>
      </c>
    </row>
    <row r="42" spans="1:18" s="4" customFormat="1" x14ac:dyDescent="0.2">
      <c r="A42" s="4" t="s">
        <v>45</v>
      </c>
      <c r="C42" s="36">
        <f>C41</f>
        <v>42795665</v>
      </c>
      <c r="D42" s="36">
        <f t="shared" ref="D42:O42" si="8">C42+D41</f>
        <v>56155122.188999996</v>
      </c>
      <c r="E42" s="36">
        <f t="shared" si="8"/>
        <v>64561578.525513083</v>
      </c>
      <c r="F42" s="36">
        <f t="shared" si="8"/>
        <v>79470401.778881058</v>
      </c>
      <c r="G42" s="36">
        <f t="shared" si="8"/>
        <v>95959919.097870767</v>
      </c>
      <c r="H42" s="36">
        <f t="shared" si="8"/>
        <v>116262776.09787077</v>
      </c>
      <c r="I42" s="36">
        <f t="shared" si="8"/>
        <v>121120230.09787077</v>
      </c>
      <c r="J42" s="36">
        <f t="shared" si="8"/>
        <v>131906558.09787077</v>
      </c>
      <c r="K42" s="36">
        <f t="shared" si="8"/>
        <v>140314409.09787077</v>
      </c>
      <c r="L42" s="36">
        <f t="shared" si="8"/>
        <v>144199173.09787077</v>
      </c>
      <c r="M42" s="36">
        <f t="shared" si="8"/>
        <v>145413660.09787077</v>
      </c>
      <c r="N42" s="36">
        <f t="shared" si="8"/>
        <v>151498767.09787077</v>
      </c>
      <c r="O42" s="4">
        <f t="shared" si="8"/>
        <v>154596009.09787077</v>
      </c>
      <c r="P42" s="11"/>
    </row>
    <row r="43" spans="1:18" s="4" customFormat="1" x14ac:dyDescent="0.2">
      <c r="A43" s="17" t="s">
        <v>64</v>
      </c>
      <c r="C43" s="36"/>
      <c r="D43" s="36"/>
      <c r="E43" s="36"/>
      <c r="G43" s="36"/>
      <c r="H43" s="36"/>
      <c r="I43" s="36"/>
      <c r="J43" s="36"/>
      <c r="L43" s="36"/>
      <c r="M43" s="36"/>
      <c r="N43" s="36"/>
      <c r="P43" s="16">
        <f>+P41/C59/1000</f>
        <v>349.76472646577099</v>
      </c>
    </row>
    <row r="44" spans="1:18" x14ac:dyDescent="0.2">
      <c r="C44" s="36"/>
      <c r="D44" s="40"/>
      <c r="E44" s="40"/>
      <c r="G44" s="40"/>
      <c r="H44" s="40"/>
      <c r="I44" s="40"/>
      <c r="J44" s="40"/>
      <c r="L44" s="40"/>
      <c r="M44" s="40"/>
      <c r="N44" s="40"/>
      <c r="P44" s="11"/>
    </row>
    <row r="45" spans="1:18" x14ac:dyDescent="0.2">
      <c r="A45" s="17" t="s">
        <v>39</v>
      </c>
      <c r="C45" s="36">
        <v>0</v>
      </c>
      <c r="D45" s="40"/>
      <c r="E45" s="40"/>
      <c r="G45" s="40"/>
      <c r="H45" s="40"/>
      <c r="I45" s="40">
        <v>0</v>
      </c>
      <c r="J45" s="40"/>
      <c r="L45" s="40"/>
      <c r="M45" s="40"/>
      <c r="N45" s="40"/>
      <c r="P45" s="22">
        <f>SUM(C45:O45)</f>
        <v>0</v>
      </c>
    </row>
    <row r="46" spans="1:18" s="4" customFormat="1" x14ac:dyDescent="0.2">
      <c r="A46" s="8"/>
      <c r="C46" s="35"/>
      <c r="D46" s="36"/>
      <c r="E46" s="36"/>
      <c r="G46" s="36"/>
      <c r="H46" s="36"/>
      <c r="I46" s="36"/>
      <c r="J46" s="36"/>
      <c r="L46" s="36"/>
      <c r="M46" s="36"/>
      <c r="N46" s="36"/>
      <c r="P46" s="11"/>
    </row>
    <row r="47" spans="1:18" x14ac:dyDescent="0.2">
      <c r="A47" s="17" t="s">
        <v>69</v>
      </c>
      <c r="C47" s="36">
        <f t="shared" ref="C47:K47" si="9">+C41-C32</f>
        <v>41782615</v>
      </c>
      <c r="D47" s="36">
        <f t="shared" si="9"/>
        <v>13016633.188999999</v>
      </c>
      <c r="E47" s="36">
        <f t="shared" si="9"/>
        <v>8085156.4176249988</v>
      </c>
      <c r="F47" s="36">
        <f t="shared" si="9"/>
        <v>14464905.399750002</v>
      </c>
      <c r="G47" s="36">
        <f t="shared" si="9"/>
        <v>15961461.634125</v>
      </c>
      <c r="H47" s="36">
        <f t="shared" si="9"/>
        <v>20178340</v>
      </c>
      <c r="I47" s="36">
        <f t="shared" si="9"/>
        <v>4132311</v>
      </c>
      <c r="J47" s="36">
        <f t="shared" si="9"/>
        <v>10102202</v>
      </c>
      <c r="K47" s="4">
        <f t="shared" si="9"/>
        <v>9091977</v>
      </c>
      <c r="L47" s="36">
        <f>ROUND(+L41-L32,0)</f>
        <v>4211533</v>
      </c>
      <c r="M47" s="36">
        <f>+M41-M32</f>
        <v>1214487</v>
      </c>
      <c r="N47" s="36">
        <f>+N41-N32</f>
        <v>6085107</v>
      </c>
      <c r="O47" s="4">
        <f>+O41-O32</f>
        <v>3097242</v>
      </c>
      <c r="P47" s="11">
        <f>SUM(C47:O47)</f>
        <v>151423970.64049998</v>
      </c>
    </row>
    <row r="48" spans="1:18" hidden="1" x14ac:dyDescent="0.2">
      <c r="A48" s="17" t="s">
        <v>82</v>
      </c>
      <c r="C48" s="37">
        <f>43104549+12435707+150775+27457</f>
        <v>55718488</v>
      </c>
      <c r="D48" s="37">
        <f>10781519+937500+315367+11785</f>
        <v>12046171</v>
      </c>
      <c r="E48" s="37">
        <f>32244564+321300+10279</f>
        <v>32576143</v>
      </c>
      <c r="F48" s="37">
        <f>500000+443918+6207</f>
        <v>950125</v>
      </c>
      <c r="G48" s="36">
        <f>IF(+G42-F49-G47&gt;0,G42-F49-G47,250000)</f>
        <v>250000</v>
      </c>
      <c r="H48" s="36">
        <v>0</v>
      </c>
      <c r="I48" s="4">
        <v>0</v>
      </c>
      <c r="J48" s="36">
        <v>0</v>
      </c>
      <c r="K48" s="4">
        <v>0</v>
      </c>
      <c r="L48" s="36"/>
      <c r="M48" s="36"/>
      <c r="N48" s="36"/>
      <c r="O48" s="4"/>
      <c r="P48" s="11"/>
    </row>
    <row r="49" spans="1:24" hidden="1" x14ac:dyDescent="0.2">
      <c r="A49" s="17" t="s">
        <v>83</v>
      </c>
      <c r="C49" s="36">
        <f>+C48</f>
        <v>55718488</v>
      </c>
      <c r="D49" s="36">
        <f t="shared" ref="D49:K49" si="10">+D48+C49</f>
        <v>67764659</v>
      </c>
      <c r="E49" s="36">
        <f t="shared" si="10"/>
        <v>100340802</v>
      </c>
      <c r="F49" s="36">
        <f t="shared" si="10"/>
        <v>101290927</v>
      </c>
      <c r="G49" s="36">
        <f t="shared" si="10"/>
        <v>101540927</v>
      </c>
      <c r="H49" s="36">
        <v>0</v>
      </c>
      <c r="I49" s="4">
        <f t="shared" si="10"/>
        <v>0</v>
      </c>
      <c r="J49" s="36">
        <f t="shared" si="10"/>
        <v>0</v>
      </c>
      <c r="K49" s="4">
        <f t="shared" si="10"/>
        <v>0</v>
      </c>
      <c r="L49" s="36"/>
      <c r="M49" s="36"/>
      <c r="N49" s="36"/>
      <c r="O49" s="4"/>
      <c r="P49" s="11"/>
    </row>
    <row r="50" spans="1:24" x14ac:dyDescent="0.2">
      <c r="C50" s="36"/>
      <c r="D50" s="40"/>
      <c r="E50" s="40"/>
      <c r="G50" s="40"/>
      <c r="H50" s="40"/>
      <c r="J50" s="40"/>
      <c r="L50" s="40"/>
      <c r="M50" s="40"/>
      <c r="N50" s="40"/>
      <c r="P50" s="11"/>
    </row>
    <row r="51" spans="1:24" x14ac:dyDescent="0.2">
      <c r="C51" s="36"/>
      <c r="D51" s="40"/>
      <c r="E51" s="40"/>
      <c r="G51" s="40"/>
      <c r="H51" s="40"/>
      <c r="J51" s="40"/>
      <c r="L51" s="40"/>
      <c r="M51" s="40"/>
      <c r="N51" s="40"/>
      <c r="P51" s="11"/>
    </row>
    <row r="52" spans="1:24" ht="13.5" thickBot="1" x14ac:dyDescent="0.25">
      <c r="A52" s="4" t="s">
        <v>74</v>
      </c>
      <c r="C52" s="44">
        <f>+C41</f>
        <v>42795665</v>
      </c>
      <c r="D52" s="44">
        <f t="shared" ref="D52:O52" si="11">+D41</f>
        <v>13359457.188999999</v>
      </c>
      <c r="E52" s="44">
        <f t="shared" si="11"/>
        <v>8406456.3365130909</v>
      </c>
      <c r="F52" s="44">
        <f t="shared" si="11"/>
        <v>14908823.253367981</v>
      </c>
      <c r="G52" s="44">
        <f t="shared" si="11"/>
        <v>16489517.318989702</v>
      </c>
      <c r="H52" s="44">
        <f t="shared" si="11"/>
        <v>20302857</v>
      </c>
      <c r="I52" s="44">
        <f t="shared" si="11"/>
        <v>4857454</v>
      </c>
      <c r="J52" s="44">
        <f t="shared" si="11"/>
        <v>10786328</v>
      </c>
      <c r="K52" s="44">
        <f t="shared" si="11"/>
        <v>8407851</v>
      </c>
      <c r="L52" s="44">
        <f t="shared" si="11"/>
        <v>3884764</v>
      </c>
      <c r="M52" s="44">
        <f t="shared" si="11"/>
        <v>1214487</v>
      </c>
      <c r="N52" s="44">
        <f t="shared" si="11"/>
        <v>6085107</v>
      </c>
      <c r="O52" s="44">
        <f t="shared" si="11"/>
        <v>3097242</v>
      </c>
      <c r="P52" s="30">
        <f>SUM(C52:O52)+1</f>
        <v>154596010.09787077</v>
      </c>
      <c r="R52" s="18">
        <f>SUM(R10:R51)</f>
        <v>1.0105374417089479</v>
      </c>
    </row>
    <row r="53" spans="1:24" ht="13.5" thickBot="1" x14ac:dyDescent="0.25">
      <c r="A53" s="4" t="s">
        <v>84</v>
      </c>
      <c r="C53" s="45">
        <f>+C52</f>
        <v>42795665</v>
      </c>
      <c r="D53" s="45">
        <f t="shared" ref="D53:O53" si="12">+D52+C53</f>
        <v>56155122.188999996</v>
      </c>
      <c r="E53" s="45">
        <f t="shared" si="12"/>
        <v>64561578.525513083</v>
      </c>
      <c r="F53" s="45">
        <f t="shared" si="12"/>
        <v>79470401.778881058</v>
      </c>
      <c r="G53" s="45">
        <f t="shared" si="12"/>
        <v>95959919.097870767</v>
      </c>
      <c r="H53" s="45">
        <f t="shared" si="12"/>
        <v>116262776.09787077</v>
      </c>
      <c r="I53" s="45">
        <f t="shared" si="12"/>
        <v>121120230.09787077</v>
      </c>
      <c r="J53" s="45">
        <f t="shared" si="12"/>
        <v>131906558.09787077</v>
      </c>
      <c r="K53" s="32">
        <f t="shared" si="12"/>
        <v>140314409.09787077</v>
      </c>
      <c r="L53" s="45">
        <f t="shared" si="12"/>
        <v>144199173.09787077</v>
      </c>
      <c r="M53" s="45">
        <f t="shared" si="12"/>
        <v>145413660.09787077</v>
      </c>
      <c r="N53" s="45">
        <f t="shared" si="12"/>
        <v>151498767.09787077</v>
      </c>
      <c r="O53" s="32">
        <f t="shared" si="12"/>
        <v>154596009.09787077</v>
      </c>
      <c r="P53" s="11"/>
    </row>
    <row r="54" spans="1:24" x14ac:dyDescent="0.2">
      <c r="C54" s="36"/>
      <c r="D54" s="40"/>
      <c r="E54" s="40"/>
      <c r="G54" s="40"/>
      <c r="H54" s="40"/>
      <c r="J54" s="40"/>
      <c r="L54" s="40"/>
      <c r="M54" s="40"/>
      <c r="N54" s="40"/>
      <c r="P54" s="39"/>
    </row>
    <row r="55" spans="1:24" ht="13.5" thickBot="1" x14ac:dyDescent="0.25">
      <c r="A55" s="4" t="s">
        <v>73</v>
      </c>
      <c r="C55" s="44">
        <f t="shared" ref="C55:P55" si="13">+C52+C45</f>
        <v>42795665</v>
      </c>
      <c r="D55" s="44">
        <f t="shared" si="13"/>
        <v>13359457.188999999</v>
      </c>
      <c r="E55" s="44">
        <f t="shared" si="13"/>
        <v>8406456.3365130909</v>
      </c>
      <c r="F55" s="44">
        <f t="shared" si="13"/>
        <v>14908823.253367981</v>
      </c>
      <c r="G55" s="44">
        <f t="shared" si="13"/>
        <v>16489517.318989702</v>
      </c>
      <c r="H55" s="44">
        <f t="shared" si="13"/>
        <v>20302857</v>
      </c>
      <c r="I55" s="44">
        <f t="shared" si="13"/>
        <v>4857454</v>
      </c>
      <c r="J55" s="44">
        <f t="shared" si="13"/>
        <v>10786328</v>
      </c>
      <c r="K55" s="29">
        <f t="shared" si="13"/>
        <v>8407851</v>
      </c>
      <c r="L55" s="44">
        <f t="shared" si="13"/>
        <v>3884764</v>
      </c>
      <c r="M55" s="44">
        <f t="shared" si="13"/>
        <v>1214487</v>
      </c>
      <c r="N55" s="44">
        <f t="shared" si="13"/>
        <v>6085107</v>
      </c>
      <c r="O55" s="29">
        <f t="shared" si="13"/>
        <v>3097242</v>
      </c>
      <c r="P55" s="30">
        <f t="shared" si="13"/>
        <v>154596010.09787077</v>
      </c>
      <c r="Q55" s="18">
        <f>+[1]Caledonia!$AY$198</f>
        <v>154596009.9593333</v>
      </c>
      <c r="R55" s="18">
        <f>+Q55-P55</f>
        <v>-0.13853746652603149</v>
      </c>
    </row>
    <row r="56" spans="1:24" x14ac:dyDescent="0.2">
      <c r="G56" s="40"/>
      <c r="J56" s="40"/>
      <c r="L56" s="40"/>
      <c r="M56" s="40"/>
      <c r="N56" s="40"/>
      <c r="P56"/>
    </row>
    <row r="57" spans="1:24" s="4" customFormat="1" x14ac:dyDescent="0.2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12">
        <v>6.5000000000000002E-2</v>
      </c>
      <c r="I57" s="12">
        <v>6.5000000000000002E-2</v>
      </c>
      <c r="J57" s="12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38"/>
    </row>
    <row r="58" spans="1:24" s="4" customFormat="1" x14ac:dyDescent="0.2">
      <c r="A58" s="33" t="s">
        <v>123</v>
      </c>
      <c r="C58" s="46">
        <v>1.5E-3</v>
      </c>
      <c r="D58" s="73"/>
      <c r="E58" s="9"/>
      <c r="F58" s="9"/>
      <c r="G58" s="9"/>
      <c r="H58" s="9"/>
      <c r="I58" s="9"/>
      <c r="J58" s="9"/>
      <c r="P58" s="38"/>
    </row>
    <row r="59" spans="1:24" s="4" customFormat="1" x14ac:dyDescent="0.2">
      <c r="A59" s="8"/>
      <c r="C59" s="4">
        <v>442</v>
      </c>
      <c r="D59" s="4" t="s">
        <v>66</v>
      </c>
      <c r="P59"/>
    </row>
    <row r="61" spans="1:24" x14ac:dyDescent="0.2">
      <c r="C61" s="36" t="s">
        <v>89</v>
      </c>
      <c r="D61" s="17" t="s">
        <v>90</v>
      </c>
    </row>
    <row r="62" spans="1:24" x14ac:dyDescent="0.2">
      <c r="C62" s="37"/>
      <c r="D62" s="17" t="str">
        <f>+Brownsville!D62</f>
        <v>Input from WestLB statements for each month's actuals (1/99 - 5/99)</v>
      </c>
    </row>
    <row r="64" spans="1:24" s="6" customFormat="1" x14ac:dyDescent="0.2">
      <c r="A64" s="66"/>
      <c r="B64" s="67"/>
      <c r="C64" s="68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69"/>
      <c r="Q64" s="67"/>
      <c r="R64" s="67"/>
      <c r="S64" s="67"/>
      <c r="T64" s="67"/>
      <c r="U64" s="67"/>
      <c r="V64" s="67"/>
      <c r="W64" s="67"/>
      <c r="X64" s="67"/>
    </row>
    <row r="65" spans="1:24" s="6" customFormat="1" x14ac:dyDescent="0.2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</row>
    <row r="66" spans="1:24" ht="19.5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9"/>
      <c r="Q66" s="20"/>
      <c r="R66" s="20"/>
      <c r="S66" s="20"/>
      <c r="T66" s="20"/>
      <c r="U66" s="20"/>
      <c r="V66" s="20"/>
      <c r="W66" s="20"/>
      <c r="X66" s="20"/>
    </row>
    <row r="67" spans="1:24" x14ac:dyDescent="0.2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9"/>
      <c r="Q67" s="20"/>
      <c r="R67" s="20"/>
      <c r="S67" s="20"/>
      <c r="T67" s="20"/>
      <c r="U67" s="20"/>
      <c r="V67" s="20"/>
      <c r="W67" s="20"/>
      <c r="X67" s="20"/>
    </row>
    <row r="68" spans="1:24" x14ac:dyDescent="0.2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9"/>
      <c r="Q68" s="20"/>
      <c r="R68" s="20"/>
      <c r="S68" s="20"/>
      <c r="T68" s="20"/>
      <c r="U68" s="20"/>
      <c r="V68" s="20"/>
      <c r="W68" s="20"/>
      <c r="X68" s="20"/>
    </row>
    <row r="69" spans="1:24" x14ac:dyDescent="0.2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20"/>
      <c r="R69" s="20"/>
      <c r="S69" s="20"/>
      <c r="T69" s="20"/>
      <c r="U69" s="20"/>
      <c r="V69" s="20"/>
      <c r="W69" s="20"/>
      <c r="X69" s="20"/>
    </row>
    <row r="70" spans="1:24" x14ac:dyDescent="0.2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20"/>
      <c r="R70" s="20"/>
      <c r="S70" s="20"/>
      <c r="T70" s="20"/>
      <c r="U70" s="20"/>
      <c r="V70" s="20"/>
      <c r="W70" s="20"/>
      <c r="X70" s="20"/>
    </row>
    <row r="71" spans="1:24" x14ac:dyDescent="0.2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20"/>
      <c r="R71" s="20"/>
      <c r="S71" s="20"/>
      <c r="T71" s="20"/>
      <c r="U71" s="20"/>
      <c r="V71" s="20"/>
      <c r="W71" s="20"/>
      <c r="X71" s="20"/>
    </row>
    <row r="72" spans="1:24" x14ac:dyDescent="0.2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72"/>
      <c r="Q72" s="20"/>
      <c r="R72" s="20"/>
      <c r="S72" s="20"/>
      <c r="T72" s="20"/>
      <c r="U72" s="20"/>
      <c r="V72" s="20"/>
      <c r="W72" s="20"/>
      <c r="X72" s="20"/>
    </row>
  </sheetData>
  <mergeCells count="2">
    <mergeCell ref="D5:O5"/>
    <mergeCell ref="D64:O64"/>
  </mergeCells>
  <printOptions horizontalCentered="1"/>
  <pageMargins left="0.25" right="0.25" top="0.25" bottom="0.25" header="0.25" footer="0.5"/>
  <pageSetup scale="53" orientation="landscape" cellComments="asDisplayed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2"/>
  <sheetViews>
    <sheetView workbookViewId="0">
      <pane xSplit="2" ySplit="6" topLeftCell="M34" activePane="bottomRight" state="frozen"/>
      <selection activeCell="D3" sqref="D3"/>
      <selection pane="topRight" activeCell="D3" sqref="D3"/>
      <selection pane="bottomLeft" activeCell="D3" sqref="D3"/>
      <selection pane="bottomRight" activeCell="O42" sqref="O42"/>
    </sheetView>
  </sheetViews>
  <sheetFormatPr defaultRowHeight="12.75" x14ac:dyDescent="0.2"/>
  <cols>
    <col min="1" max="1" width="47.5703125" style="18" bestFit="1" customWidth="1"/>
    <col min="2" max="2" width="1.7109375" style="18" customWidth="1"/>
    <col min="3" max="3" width="13.140625" style="4" customWidth="1"/>
    <col min="4" max="4" width="15" style="18" customWidth="1"/>
    <col min="5" max="5" width="14.28515625" style="18" customWidth="1"/>
    <col min="6" max="7" width="12.28515625" style="18" customWidth="1"/>
    <col min="8" max="8" width="13.42578125" style="18" customWidth="1"/>
    <col min="9" max="9" width="13.5703125" style="18" customWidth="1"/>
    <col min="10" max="10" width="14.28515625" style="18" customWidth="1"/>
    <col min="11" max="11" width="14.85546875" style="18" customWidth="1"/>
    <col min="12" max="14" width="14.140625" style="18" customWidth="1"/>
    <col min="15" max="15" width="13.7109375" style="18" customWidth="1"/>
    <col min="16" max="16" width="14.42578125" style="4" customWidth="1"/>
    <col min="17" max="17" width="12.28515625" style="18" bestFit="1" customWidth="1"/>
    <col min="18" max="18" width="13.7109375" style="18" customWidth="1"/>
    <col min="19" max="16384" width="9.140625" style="18"/>
  </cols>
  <sheetData>
    <row r="1" spans="1:18" s="2" customFormat="1" ht="15.75" x14ac:dyDescent="0.25">
      <c r="A1" s="1" t="s">
        <v>0</v>
      </c>
    </row>
    <row r="2" spans="1:18" s="2" customFormat="1" ht="15.75" x14ac:dyDescent="0.25">
      <c r="A2" s="1" t="s">
        <v>1</v>
      </c>
      <c r="D2" s="1" t="str">
        <f>+Brownsville!D2</f>
        <v>Last updated:  Actuals through December 17, 1999</v>
      </c>
      <c r="P2" s="25" t="str">
        <f ca="1">CELL("filename")</f>
        <v>O:\Fin_Ops\Engysvc\PowerPlants\TVA Plants\TVA Draw Schedules\[TVADraw122199.xls]Brownsville</v>
      </c>
    </row>
    <row r="3" spans="1:18" s="2" customFormat="1" ht="15.75" x14ac:dyDescent="0.25">
      <c r="A3" s="1" t="s">
        <v>76</v>
      </c>
      <c r="D3" s="26"/>
      <c r="F3" s="3"/>
      <c r="P3" s="24">
        <f ca="1">NOW()</f>
        <v>36515.443810763885</v>
      </c>
    </row>
    <row r="4" spans="1:18" ht="15" x14ac:dyDescent="0.2">
      <c r="C4" s="12"/>
      <c r="D4" s="27"/>
    </row>
    <row r="5" spans="1:18" s="6" customFormat="1" x14ac:dyDescent="0.2">
      <c r="A5" s="5"/>
      <c r="C5" s="7">
        <v>1998</v>
      </c>
      <c r="D5" s="31"/>
      <c r="E5" s="31"/>
      <c r="F5" s="31"/>
      <c r="G5" s="31"/>
      <c r="H5" s="31"/>
      <c r="I5" s="31" t="s">
        <v>3</v>
      </c>
      <c r="J5" s="31"/>
      <c r="K5" s="31"/>
      <c r="L5" s="31"/>
      <c r="M5" s="31"/>
      <c r="N5" s="31"/>
      <c r="O5" s="31"/>
      <c r="P5" s="31"/>
    </row>
    <row r="6" spans="1:18" s="6" customFormat="1" x14ac:dyDescent="0.2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14" t="s">
        <v>5</v>
      </c>
    </row>
    <row r="7" spans="1:18" s="6" customFormat="1" ht="19.5" x14ac:dyDescent="0.55000000000000004">
      <c r="A7" s="34" t="s">
        <v>125</v>
      </c>
      <c r="H7" s="62"/>
      <c r="P7" s="10"/>
    </row>
    <row r="8" spans="1:18" s="6" customFormat="1" x14ac:dyDescent="0.2">
      <c r="A8" s="5" t="s">
        <v>91</v>
      </c>
      <c r="H8" s="62"/>
      <c r="N8" s="62"/>
      <c r="P8" s="10"/>
    </row>
    <row r="9" spans="1:18" s="6" customFormat="1" x14ac:dyDescent="0.2">
      <c r="A9" s="5" t="s">
        <v>61</v>
      </c>
      <c r="H9" s="62"/>
      <c r="N9" s="62"/>
      <c r="P9" s="10"/>
    </row>
    <row r="10" spans="1:18" x14ac:dyDescent="0.2">
      <c r="A10" s="17" t="s">
        <v>88</v>
      </c>
      <c r="C10" s="36">
        <f>52751407</f>
        <v>52751407</v>
      </c>
      <c r="D10" s="40">
        <f>13627541-133528</f>
        <v>13494013</v>
      </c>
      <c r="E10" s="40">
        <f>-700000-200500-100000</f>
        <v>-1000500</v>
      </c>
      <c r="F10" s="40">
        <f>946610+268110.4</f>
        <v>1214720.3999999999</v>
      </c>
      <c r="G10" s="40">
        <v>5942931</v>
      </c>
      <c r="H10" s="40">
        <v>5639430</v>
      </c>
      <c r="I10" s="40">
        <v>518483</v>
      </c>
      <c r="J10" s="40">
        <v>761820</v>
      </c>
      <c r="K10" s="40">
        <v>807720</v>
      </c>
      <c r="L10" s="40">
        <v>295000</v>
      </c>
      <c r="M10" s="40">
        <v>115737</v>
      </c>
      <c r="N10" s="40">
        <v>56819</v>
      </c>
      <c r="O10" s="8">
        <v>2157008</v>
      </c>
      <c r="P10" s="11">
        <f t="shared" ref="P10:P29" si="0">SUM(C10:O10)</f>
        <v>82754588.400000006</v>
      </c>
      <c r="Q10" s="18">
        <f>+[1]NewAlbany!AY25</f>
        <v>82754588.730000004</v>
      </c>
      <c r="R10" s="18">
        <f>+Q10-P10</f>
        <v>0.32999999821186066</v>
      </c>
    </row>
    <row r="11" spans="1:18" x14ac:dyDescent="0.2">
      <c r="A11" s="17" t="s">
        <v>22</v>
      </c>
      <c r="C11" s="36">
        <v>7430171</v>
      </c>
      <c r="D11" s="40">
        <v>3111381</v>
      </c>
      <c r="E11" s="40">
        <v>0</v>
      </c>
      <c r="F11" s="40">
        <v>-5415746</v>
      </c>
      <c r="G11" s="40">
        <v>248257</v>
      </c>
      <c r="H11" s="40">
        <v>1334950</v>
      </c>
      <c r="I11" s="40">
        <v>92004</v>
      </c>
      <c r="J11" s="40">
        <v>13613</v>
      </c>
      <c r="K11" s="40">
        <v>20000</v>
      </c>
      <c r="L11" s="40">
        <v>1036626</v>
      </c>
      <c r="M11" s="40">
        <v>20000</v>
      </c>
      <c r="N11" s="40">
        <v>0</v>
      </c>
      <c r="O11" s="18">
        <v>1</v>
      </c>
      <c r="P11" s="11">
        <f>SUM(C11:O11)</f>
        <v>7891257</v>
      </c>
      <c r="Q11" s="18">
        <f>+[1]NewAlbany!AY27</f>
        <v>7891256.5300000003</v>
      </c>
      <c r="R11" s="18">
        <f>+Q11-P11</f>
        <v>-0.46999999973922968</v>
      </c>
    </row>
    <row r="12" spans="1:18" x14ac:dyDescent="0.2">
      <c r="A12" s="17" t="s">
        <v>19</v>
      </c>
      <c r="C12" s="36">
        <f>9471199-7430171</f>
        <v>2041028</v>
      </c>
      <c r="D12" s="40">
        <f>4096431+133528-3111381</f>
        <v>1118578</v>
      </c>
      <c r="E12" s="40">
        <v>293815</v>
      </c>
      <c r="F12" s="40">
        <f>1230000+587629</f>
        <v>1817629</v>
      </c>
      <c r="G12" s="40">
        <f>168550+615000</f>
        <v>783550</v>
      </c>
      <c r="H12" s="40">
        <v>3531431</v>
      </c>
      <c r="I12" s="40">
        <v>853259</v>
      </c>
      <c r="J12" s="40">
        <v>300000</v>
      </c>
      <c r="K12" s="40">
        <v>6600</v>
      </c>
      <c r="L12" s="40">
        <v>724514</v>
      </c>
      <c r="M12" s="40">
        <v>0</v>
      </c>
      <c r="N12" s="40">
        <v>0</v>
      </c>
      <c r="O12" s="18">
        <f>51445-184973</f>
        <v>-133528</v>
      </c>
      <c r="P12" s="11">
        <f t="shared" si="0"/>
        <v>11336876</v>
      </c>
      <c r="Q12" s="18">
        <f>+[1]NewAlbany!AY41</f>
        <v>11336875.91</v>
      </c>
      <c r="R12" s="18">
        <f t="shared" ref="R12:R27" si="1">+Q12-P12</f>
        <v>-8.9999999850988388E-2</v>
      </c>
    </row>
    <row r="13" spans="1:18" x14ac:dyDescent="0.2">
      <c r="A13" s="17" t="s">
        <v>20</v>
      </c>
      <c r="C13" s="36">
        <v>134978</v>
      </c>
      <c r="D13" s="40">
        <v>36683</v>
      </c>
      <c r="E13" s="40">
        <v>0</v>
      </c>
      <c r="F13" s="8">
        <v>0</v>
      </c>
      <c r="G13" s="40">
        <v>15908</v>
      </c>
      <c r="H13" s="40">
        <v>0</v>
      </c>
      <c r="I13" s="40">
        <v>541378</v>
      </c>
      <c r="J13" s="40">
        <v>174321</v>
      </c>
      <c r="K13" s="40">
        <f>66961</f>
        <v>66961</v>
      </c>
      <c r="L13" s="40">
        <v>0</v>
      </c>
      <c r="M13" s="40">
        <v>107095</v>
      </c>
      <c r="N13" s="40">
        <v>8577</v>
      </c>
      <c r="O13" s="18">
        <v>113778</v>
      </c>
      <c r="P13" s="11">
        <f t="shared" si="0"/>
        <v>1199679</v>
      </c>
      <c r="Q13" s="18">
        <f>+[1]NewAlbany!AY51</f>
        <v>1199679</v>
      </c>
      <c r="R13" s="18">
        <f t="shared" si="1"/>
        <v>0</v>
      </c>
    </row>
    <row r="14" spans="1:18" x14ac:dyDescent="0.2">
      <c r="A14" s="17" t="s">
        <v>21</v>
      </c>
      <c r="C14" s="36">
        <v>270744</v>
      </c>
      <c r="D14" s="40">
        <v>392941</v>
      </c>
      <c r="E14" s="40">
        <v>674363</v>
      </c>
      <c r="F14" s="40">
        <v>1756963</v>
      </c>
      <c r="G14" s="40">
        <v>0</v>
      </c>
      <c r="H14" s="40">
        <v>4390660</v>
      </c>
      <c r="I14" s="40">
        <v>4408350</v>
      </c>
      <c r="J14" s="40">
        <v>7502651</v>
      </c>
      <c r="K14" s="40">
        <v>5239722</v>
      </c>
      <c r="L14" s="40">
        <v>3901236</v>
      </c>
      <c r="M14" s="40">
        <v>1735395</v>
      </c>
      <c r="N14" s="40">
        <v>1149530</v>
      </c>
      <c r="O14" s="18">
        <f>2102445-1842444+1842444+6556</f>
        <v>2109001</v>
      </c>
      <c r="P14" s="11">
        <f t="shared" si="0"/>
        <v>33531556</v>
      </c>
      <c r="Q14" s="18">
        <f>+[1]NewAlbany!AY141</f>
        <v>33531556.170000002</v>
      </c>
      <c r="R14" s="18">
        <f t="shared" si="1"/>
        <v>0.17000000178813934</v>
      </c>
    </row>
    <row r="15" spans="1:18" x14ac:dyDescent="0.2">
      <c r="A15" s="17" t="s">
        <v>42</v>
      </c>
      <c r="C15" s="36">
        <v>6111</v>
      </c>
      <c r="D15" s="40">
        <v>11487</v>
      </c>
      <c r="E15" s="40">
        <v>0</v>
      </c>
      <c r="F15" s="8">
        <v>0</v>
      </c>
      <c r="G15" s="40">
        <v>91858</v>
      </c>
      <c r="H15" s="40">
        <v>166373</v>
      </c>
      <c r="I15" s="40">
        <v>242196</v>
      </c>
      <c r="J15" s="40">
        <v>108546</v>
      </c>
      <c r="K15" s="40">
        <v>112784</v>
      </c>
      <c r="L15" s="40">
        <v>37105</v>
      </c>
      <c r="M15" s="40">
        <v>7825</v>
      </c>
      <c r="N15" s="40">
        <v>2323</v>
      </c>
      <c r="O15" s="18">
        <v>1</v>
      </c>
      <c r="P15" s="11">
        <f t="shared" si="0"/>
        <v>786609</v>
      </c>
      <c r="Q15" s="18">
        <f>+[1]NewAlbany!AY147</f>
        <v>786608.59</v>
      </c>
      <c r="R15" s="18">
        <f t="shared" si="1"/>
        <v>-0.41000000003259629</v>
      </c>
    </row>
    <row r="16" spans="1:18" x14ac:dyDescent="0.2">
      <c r="A16" s="17" t="s">
        <v>92</v>
      </c>
      <c r="C16" s="36">
        <v>0</v>
      </c>
      <c r="D16" s="40">
        <v>0</v>
      </c>
      <c r="E16" s="40">
        <v>0</v>
      </c>
      <c r="F16" s="8">
        <v>0</v>
      </c>
      <c r="G16" s="40">
        <v>0</v>
      </c>
      <c r="H16" s="40">
        <v>0</v>
      </c>
      <c r="I16" s="18">
        <v>0</v>
      </c>
      <c r="J16" s="40">
        <v>0</v>
      </c>
      <c r="K16" s="40">
        <v>39923</v>
      </c>
      <c r="L16" s="40">
        <v>689524</v>
      </c>
      <c r="M16" s="40">
        <v>18842</v>
      </c>
      <c r="N16" s="40">
        <v>0</v>
      </c>
      <c r="O16" s="18">
        <v>64761</v>
      </c>
      <c r="P16" s="11">
        <f t="shared" si="0"/>
        <v>813050</v>
      </c>
      <c r="Q16" s="18">
        <f>+[1]NewAlbany!AY149</f>
        <v>813050</v>
      </c>
      <c r="R16" s="18">
        <f t="shared" si="1"/>
        <v>0</v>
      </c>
    </row>
    <row r="17" spans="1:18" x14ac:dyDescent="0.2">
      <c r="A17" s="17" t="s">
        <v>23</v>
      </c>
      <c r="C17" s="36">
        <v>169276</v>
      </c>
      <c r="D17" s="40">
        <v>0</v>
      </c>
      <c r="E17" s="40">
        <v>0</v>
      </c>
      <c r="F17" s="8">
        <v>0</v>
      </c>
      <c r="G17" s="40">
        <v>0</v>
      </c>
      <c r="H17" s="40">
        <v>3333</v>
      </c>
      <c r="I17" s="17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18">
        <v>0</v>
      </c>
      <c r="P17" s="11">
        <f t="shared" si="0"/>
        <v>172609</v>
      </c>
      <c r="Q17" s="18">
        <f>+[1]NewAlbany!AY153</f>
        <v>172609.34</v>
      </c>
      <c r="R17" s="18">
        <f t="shared" si="1"/>
        <v>0.33999999999650754</v>
      </c>
    </row>
    <row r="18" spans="1:18" x14ac:dyDescent="0.2">
      <c r="A18" s="17" t="s">
        <v>24</v>
      </c>
      <c r="C18" s="36">
        <v>209531</v>
      </c>
      <c r="D18" s="40">
        <v>205</v>
      </c>
      <c r="E18" s="40">
        <v>12317</v>
      </c>
      <c r="F18" s="8">
        <v>0</v>
      </c>
      <c r="G18" s="40">
        <v>0</v>
      </c>
      <c r="H18" s="40">
        <v>11450</v>
      </c>
      <c r="I18" s="17"/>
      <c r="J18" s="40">
        <v>14830</v>
      </c>
      <c r="K18" s="40">
        <v>130</v>
      </c>
      <c r="L18" s="40">
        <v>0</v>
      </c>
      <c r="M18" s="40">
        <v>106440</v>
      </c>
      <c r="N18" s="40">
        <v>0</v>
      </c>
      <c r="O18" s="18">
        <v>0</v>
      </c>
      <c r="P18" s="11">
        <f t="shared" si="0"/>
        <v>354903</v>
      </c>
      <c r="Q18" s="18">
        <f>+[1]NewAlbany!AY157</f>
        <v>354903.46</v>
      </c>
      <c r="R18" s="18">
        <f t="shared" si="1"/>
        <v>0.46000000002095476</v>
      </c>
    </row>
    <row r="19" spans="1:18" x14ac:dyDescent="0.2">
      <c r="A19" s="17" t="s">
        <v>25</v>
      </c>
      <c r="C19" s="36">
        <v>0</v>
      </c>
      <c r="D19" s="40">
        <v>0</v>
      </c>
      <c r="E19" s="40">
        <v>0</v>
      </c>
      <c r="F19" s="8">
        <v>0</v>
      </c>
      <c r="G19" s="40">
        <v>0</v>
      </c>
      <c r="H19" s="40">
        <v>0</v>
      </c>
      <c r="I19" s="18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18">
        <v>0</v>
      </c>
      <c r="P19" s="11">
        <f t="shared" si="0"/>
        <v>0</v>
      </c>
      <c r="Q19" s="18">
        <f>+[1]NewAlbany!AY159</f>
        <v>0</v>
      </c>
      <c r="R19" s="18">
        <f t="shared" si="1"/>
        <v>0</v>
      </c>
    </row>
    <row r="20" spans="1:18" x14ac:dyDescent="0.2">
      <c r="A20" s="17" t="s">
        <v>26</v>
      </c>
      <c r="C20" s="36">
        <v>0</v>
      </c>
      <c r="D20" s="40">
        <v>71060</v>
      </c>
      <c r="E20" s="40">
        <v>0</v>
      </c>
      <c r="F20" s="8">
        <v>0</v>
      </c>
      <c r="G20" s="40">
        <v>719016</v>
      </c>
      <c r="H20" s="40">
        <v>0</v>
      </c>
      <c r="I20" s="40">
        <v>644133</v>
      </c>
      <c r="J20" s="40">
        <v>169598</v>
      </c>
      <c r="K20" s="40">
        <v>185299</v>
      </c>
      <c r="L20" s="40">
        <v>72188</v>
      </c>
      <c r="M20" s="40">
        <v>12905</v>
      </c>
      <c r="N20" s="40">
        <v>156684</v>
      </c>
      <c r="O20" s="18">
        <v>119924</v>
      </c>
      <c r="P20" s="11">
        <f t="shared" si="0"/>
        <v>2150807</v>
      </c>
      <c r="Q20" s="18">
        <f>+[1]NewAlbany!AY166</f>
        <v>2150806.6639999999</v>
      </c>
      <c r="R20" s="18">
        <f t="shared" si="1"/>
        <v>-0.33600000012665987</v>
      </c>
    </row>
    <row r="21" spans="1:18" x14ac:dyDescent="0.2">
      <c r="A21" s="17" t="s">
        <v>27</v>
      </c>
      <c r="C21" s="36">
        <v>0</v>
      </c>
      <c r="D21" s="40">
        <v>0</v>
      </c>
      <c r="E21" s="40">
        <v>0</v>
      </c>
      <c r="F21" s="8">
        <v>0</v>
      </c>
      <c r="G21" s="40">
        <v>50000</v>
      </c>
      <c r="H21" s="40">
        <v>54684</v>
      </c>
      <c r="I21" s="40">
        <v>131581</v>
      </c>
      <c r="J21" s="40">
        <v>138751</v>
      </c>
      <c r="K21" s="40">
        <v>0</v>
      </c>
      <c r="L21" s="40">
        <v>0</v>
      </c>
      <c r="M21" s="40">
        <v>0</v>
      </c>
      <c r="N21" s="40">
        <v>0</v>
      </c>
      <c r="O21" s="18">
        <v>0</v>
      </c>
      <c r="P21" s="11">
        <f t="shared" si="0"/>
        <v>375016</v>
      </c>
      <c r="Q21" s="18">
        <f>+[1]NewAlbany!AY216</f>
        <v>375015.74</v>
      </c>
      <c r="R21" s="18">
        <f t="shared" si="1"/>
        <v>-0.26000000000931323</v>
      </c>
    </row>
    <row r="22" spans="1:18" x14ac:dyDescent="0.2">
      <c r="A22" s="17" t="s">
        <v>28</v>
      </c>
      <c r="C22" s="36">
        <v>162185.68</v>
      </c>
      <c r="D22" s="40">
        <v>64952</v>
      </c>
      <c r="E22" s="40">
        <v>4730</v>
      </c>
      <c r="F22" s="8">
        <v>0</v>
      </c>
      <c r="G22" s="40">
        <v>0</v>
      </c>
      <c r="H22" s="40">
        <v>0</v>
      </c>
      <c r="I22" s="18">
        <v>0</v>
      </c>
      <c r="J22" s="40">
        <v>85968</v>
      </c>
      <c r="K22" s="40">
        <v>0</v>
      </c>
      <c r="L22" s="40">
        <v>0</v>
      </c>
      <c r="M22" s="40">
        <v>0</v>
      </c>
      <c r="N22" s="40">
        <v>0</v>
      </c>
      <c r="O22" s="18">
        <v>-217836</v>
      </c>
      <c r="P22" s="11">
        <f t="shared" si="0"/>
        <v>99999.679999999993</v>
      </c>
      <c r="Q22" s="18">
        <f>+[1]NewAlbany!AY168</f>
        <v>100000</v>
      </c>
      <c r="R22" s="18">
        <f t="shared" si="1"/>
        <v>0.32000000000698492</v>
      </c>
    </row>
    <row r="23" spans="1:18" x14ac:dyDescent="0.2">
      <c r="A23" s="17" t="s">
        <v>48</v>
      </c>
      <c r="C23" s="36">
        <v>63535</v>
      </c>
      <c r="D23" s="40">
        <v>0</v>
      </c>
      <c r="E23" s="40">
        <v>0</v>
      </c>
      <c r="F23" s="8">
        <v>0</v>
      </c>
      <c r="G23" s="40">
        <v>-826</v>
      </c>
      <c r="H23" s="40">
        <v>0</v>
      </c>
      <c r="I23" s="18">
        <v>0</v>
      </c>
      <c r="J23" s="17">
        <v>0</v>
      </c>
      <c r="K23" s="40">
        <v>0</v>
      </c>
      <c r="L23" s="40">
        <v>0</v>
      </c>
      <c r="M23" s="40">
        <v>0</v>
      </c>
      <c r="N23" s="40">
        <v>0</v>
      </c>
      <c r="O23" s="18">
        <v>0</v>
      </c>
      <c r="P23" s="11">
        <f t="shared" si="0"/>
        <v>62709</v>
      </c>
      <c r="Q23" s="18">
        <f>+[1]NewAlbany!AY191</f>
        <v>62709.15</v>
      </c>
      <c r="R23" s="18">
        <f t="shared" si="1"/>
        <v>0.15000000000145519</v>
      </c>
    </row>
    <row r="24" spans="1:18" x14ac:dyDescent="0.2">
      <c r="A24" s="17" t="s">
        <v>29</v>
      </c>
      <c r="C24" s="36">
        <v>0</v>
      </c>
      <c r="D24" s="40">
        <v>0</v>
      </c>
      <c r="E24" s="40">
        <v>0</v>
      </c>
      <c r="F24" s="40">
        <v>201497</v>
      </c>
      <c r="G24" s="40">
        <v>0</v>
      </c>
      <c r="H24" s="40">
        <v>22112</v>
      </c>
      <c r="I24" s="18">
        <v>0</v>
      </c>
      <c r="J24" s="18">
        <v>0</v>
      </c>
      <c r="K24" s="40">
        <v>0</v>
      </c>
      <c r="L24" s="40">
        <v>67030</v>
      </c>
      <c r="M24" s="40">
        <v>0</v>
      </c>
      <c r="N24" s="40">
        <v>0</v>
      </c>
      <c r="O24" s="18">
        <v>35888</v>
      </c>
      <c r="P24" s="11">
        <f t="shared" si="0"/>
        <v>326527</v>
      </c>
      <c r="Q24" s="18">
        <f>+[1]NewAlbany!AY170</f>
        <v>326527</v>
      </c>
      <c r="R24" s="18">
        <f t="shared" si="1"/>
        <v>0</v>
      </c>
    </row>
    <row r="25" spans="1:18" x14ac:dyDescent="0.2">
      <c r="A25" s="17" t="s">
        <v>30</v>
      </c>
      <c r="C25" s="36">
        <v>0</v>
      </c>
      <c r="D25" s="40">
        <v>0</v>
      </c>
      <c r="E25" s="40">
        <v>11127</v>
      </c>
      <c r="F25" s="8">
        <v>0</v>
      </c>
      <c r="G25" s="40">
        <v>3775</v>
      </c>
      <c r="H25" s="40">
        <v>29108</v>
      </c>
      <c r="I25" s="40">
        <f>13553+1</f>
        <v>13554</v>
      </c>
      <c r="J25" s="40">
        <f>6061-1</f>
        <v>6060</v>
      </c>
      <c r="K25" s="40">
        <v>0</v>
      </c>
      <c r="L25" s="40">
        <v>0</v>
      </c>
      <c r="M25" s="40">
        <v>0</v>
      </c>
      <c r="N25" s="40">
        <v>0</v>
      </c>
      <c r="O25" s="18">
        <v>0</v>
      </c>
      <c r="P25" s="11">
        <f t="shared" si="0"/>
        <v>63624</v>
      </c>
      <c r="Q25" s="18">
        <f>+[1]NewAlbany!AY172</f>
        <v>63623.9</v>
      </c>
      <c r="R25" s="18">
        <f t="shared" si="1"/>
        <v>-9.9999999998544808E-2</v>
      </c>
    </row>
    <row r="26" spans="1:18" x14ac:dyDescent="0.2">
      <c r="A26" s="17" t="s">
        <v>32</v>
      </c>
      <c r="C26" s="36">
        <v>186836</v>
      </c>
      <c r="D26" s="40">
        <v>29347</v>
      </c>
      <c r="E26" s="40">
        <f>3334+1465-1</f>
        <v>4798</v>
      </c>
      <c r="F26" s="40">
        <v>-13959</v>
      </c>
      <c r="G26" s="40">
        <f>5323+1</f>
        <v>5324</v>
      </c>
      <c r="H26" s="40">
        <v>148591</v>
      </c>
      <c r="I26" s="40">
        <v>42813</v>
      </c>
      <c r="J26" s="40">
        <v>89041</v>
      </c>
      <c r="K26" s="40">
        <v>78710</v>
      </c>
      <c r="L26" s="40">
        <v>55226</v>
      </c>
      <c r="M26" s="40">
        <f>3979+4115</f>
        <v>8094</v>
      </c>
      <c r="N26" s="40">
        <v>3363</v>
      </c>
      <c r="O26" s="18">
        <v>-2</v>
      </c>
      <c r="P26" s="11">
        <f t="shared" si="0"/>
        <v>638182</v>
      </c>
      <c r="Q26" s="18">
        <f>+[1]NewAlbany!AY205</f>
        <v>638181.84999999986</v>
      </c>
      <c r="R26" s="18">
        <f t="shared" si="1"/>
        <v>-0.15000000013969839</v>
      </c>
    </row>
    <row r="27" spans="1:18" x14ac:dyDescent="0.2">
      <c r="A27" s="17" t="s">
        <v>33</v>
      </c>
      <c r="C27" s="36">
        <v>112431</v>
      </c>
      <c r="D27" s="40">
        <v>5498</v>
      </c>
      <c r="E27" s="40">
        <v>133167</v>
      </c>
      <c r="F27" s="8">
        <v>0</v>
      </c>
      <c r="G27" s="40">
        <v>0</v>
      </c>
      <c r="H27" s="40">
        <v>190115</v>
      </c>
      <c r="I27" s="17">
        <f>111151-111151</f>
        <v>0</v>
      </c>
      <c r="J27" s="40">
        <v>54871</v>
      </c>
      <c r="K27" s="40">
        <v>0</v>
      </c>
      <c r="L27" s="40">
        <f>5095+3575+23047+2014</f>
        <v>33731</v>
      </c>
      <c r="M27" s="40">
        <f>533+2441</f>
        <v>2974</v>
      </c>
      <c r="N27" s="40">
        <v>6180</v>
      </c>
      <c r="O27" s="18">
        <v>-1</v>
      </c>
      <c r="P27" s="11">
        <f t="shared" si="0"/>
        <v>538966</v>
      </c>
      <c r="Q27" s="18">
        <f>+[1]NewAlbany!AY214</f>
        <v>538966.38</v>
      </c>
      <c r="R27" s="18">
        <f t="shared" si="1"/>
        <v>0.38000000000465661</v>
      </c>
    </row>
    <row r="28" spans="1:18" x14ac:dyDescent="0.2">
      <c r="A28" s="17" t="s">
        <v>81</v>
      </c>
      <c r="C28" s="36">
        <v>0</v>
      </c>
      <c r="D28" s="40">
        <v>0</v>
      </c>
      <c r="E28" s="40">
        <v>0</v>
      </c>
      <c r="F28" s="8">
        <v>0</v>
      </c>
      <c r="G28" s="40">
        <v>0</v>
      </c>
      <c r="H28" s="40">
        <v>0</v>
      </c>
      <c r="I28" s="18">
        <v>0</v>
      </c>
      <c r="L28" s="40">
        <v>0</v>
      </c>
      <c r="M28" s="40">
        <v>0</v>
      </c>
      <c r="N28" s="40">
        <v>0</v>
      </c>
      <c r="O28" s="18">
        <v>0</v>
      </c>
      <c r="P28" s="11">
        <f t="shared" si="0"/>
        <v>0</v>
      </c>
    </row>
    <row r="29" spans="1:18" x14ac:dyDescent="0.2">
      <c r="A29" s="17" t="s">
        <v>63</v>
      </c>
      <c r="C29" s="41">
        <f t="shared" ref="C29:O29" si="2">SUM(C10:C28)</f>
        <v>63538233.68</v>
      </c>
      <c r="D29" s="41">
        <f t="shared" si="2"/>
        <v>18336145</v>
      </c>
      <c r="E29" s="41">
        <f t="shared" si="2"/>
        <v>133817</v>
      </c>
      <c r="F29" s="41">
        <f t="shared" si="2"/>
        <v>-438895.59999999963</v>
      </c>
      <c r="G29" s="41">
        <f t="shared" si="2"/>
        <v>7859793</v>
      </c>
      <c r="H29" s="41">
        <f t="shared" si="2"/>
        <v>15522237</v>
      </c>
      <c r="I29" s="41">
        <f t="shared" si="2"/>
        <v>7487751</v>
      </c>
      <c r="J29" s="41">
        <f t="shared" si="2"/>
        <v>9420070</v>
      </c>
      <c r="K29" s="41">
        <f t="shared" si="2"/>
        <v>6557849</v>
      </c>
      <c r="L29" s="41">
        <f t="shared" si="2"/>
        <v>6912180</v>
      </c>
      <c r="M29" s="41">
        <f t="shared" si="2"/>
        <v>2135307</v>
      </c>
      <c r="N29" s="41">
        <f t="shared" si="2"/>
        <v>1383476</v>
      </c>
      <c r="O29" s="21">
        <f t="shared" si="2"/>
        <v>4248995</v>
      </c>
      <c r="P29" s="22">
        <f t="shared" si="0"/>
        <v>143096958.08000001</v>
      </c>
    </row>
    <row r="30" spans="1:18" x14ac:dyDescent="0.2">
      <c r="A30" s="17" t="s">
        <v>67</v>
      </c>
      <c r="C30" s="41">
        <f>+C29</f>
        <v>63538233.68</v>
      </c>
      <c r="D30" s="41">
        <f t="shared" ref="D30:O30" si="3">+C30+D29</f>
        <v>81874378.680000007</v>
      </c>
      <c r="E30" s="41">
        <f t="shared" si="3"/>
        <v>82008195.680000007</v>
      </c>
      <c r="F30" s="41">
        <f t="shared" si="3"/>
        <v>81569300.080000013</v>
      </c>
      <c r="G30" s="41">
        <f t="shared" si="3"/>
        <v>89429093.080000013</v>
      </c>
      <c r="H30" s="41">
        <f t="shared" si="3"/>
        <v>104951330.08000001</v>
      </c>
      <c r="I30" s="41">
        <f t="shared" si="3"/>
        <v>112439081.08000001</v>
      </c>
      <c r="J30" s="41">
        <f t="shared" si="3"/>
        <v>121859151.08000001</v>
      </c>
      <c r="K30" s="41">
        <f t="shared" si="3"/>
        <v>128417000.08000001</v>
      </c>
      <c r="L30" s="41">
        <f t="shared" si="3"/>
        <v>135329180.08000001</v>
      </c>
      <c r="M30" s="41">
        <f t="shared" si="3"/>
        <v>137464487.08000001</v>
      </c>
      <c r="N30" s="41">
        <f t="shared" si="3"/>
        <v>138847963.08000001</v>
      </c>
      <c r="O30" s="21">
        <f t="shared" si="3"/>
        <v>143096958.08000001</v>
      </c>
      <c r="P30" s="13"/>
    </row>
    <row r="31" spans="1:18" x14ac:dyDescent="0.2">
      <c r="A31" s="17" t="s">
        <v>64</v>
      </c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P31" s="16">
        <f>+P29/C59/1000</f>
        <v>369.75958160206721</v>
      </c>
    </row>
    <row r="32" spans="1:18" x14ac:dyDescent="0.2">
      <c r="C32" s="36"/>
      <c r="D32" s="40"/>
      <c r="E32" s="40"/>
      <c r="F32" s="8"/>
      <c r="G32" s="40"/>
      <c r="H32" s="40"/>
      <c r="I32" s="40"/>
      <c r="J32" s="40"/>
      <c r="K32" s="40"/>
      <c r="L32" s="40"/>
      <c r="M32" s="40"/>
      <c r="N32" s="40"/>
      <c r="P32" s="11"/>
    </row>
    <row r="33" spans="1:18" x14ac:dyDescent="0.2">
      <c r="A33" s="17" t="s">
        <v>44</v>
      </c>
      <c r="C33" s="42">
        <f>913875+384382+63984</f>
        <v>1362241</v>
      </c>
      <c r="D33" s="42">
        <f>40682+395397-1</f>
        <v>436078</v>
      </c>
      <c r="E33" s="42">
        <f>SUM($C49:D49)*E57/360*30</f>
        <v>434033.21756899171</v>
      </c>
      <c r="F33" s="42">
        <f>SUM($C49:E49)*F57/360*28</f>
        <v>422737.69960179337</v>
      </c>
      <c r="G33" s="42">
        <f>SUM($C49:F49)*G57/360*33</f>
        <v>505583.13556929753</v>
      </c>
      <c r="H33" s="42">
        <v>264883</v>
      </c>
      <c r="I33" s="42">
        <v>738348</v>
      </c>
      <c r="J33" s="42">
        <f>659904+0.5</f>
        <v>659904.5</v>
      </c>
      <c r="K33" s="42">
        <v>-659904</v>
      </c>
      <c r="L33" s="42"/>
      <c r="M33" s="42"/>
      <c r="N33" s="42"/>
      <c r="O33" s="28"/>
      <c r="P33" s="11">
        <f t="shared" ref="P33:P39" si="4">SUM(C33:O33)</f>
        <v>4163904.5527400821</v>
      </c>
      <c r="Q33" s="18">
        <f>+[1]NewAlbany!AY174</f>
        <v>4163904.83</v>
      </c>
      <c r="R33" s="18">
        <f>+P33-Q33</f>
        <v>-0.27725991792976856</v>
      </c>
    </row>
    <row r="34" spans="1:18" x14ac:dyDescent="0.2">
      <c r="A34" s="17" t="s">
        <v>93</v>
      </c>
      <c r="C34" s="42"/>
      <c r="D34" s="42"/>
      <c r="E34" s="42"/>
      <c r="F34" s="42">
        <v>-94899</v>
      </c>
      <c r="G34" s="42">
        <v>-64384</v>
      </c>
      <c r="H34" s="42"/>
      <c r="I34" s="42"/>
      <c r="J34" s="42"/>
      <c r="K34" s="42"/>
      <c r="L34" s="40"/>
      <c r="M34" s="40"/>
      <c r="N34" s="40"/>
      <c r="P34" s="11">
        <f t="shared" si="4"/>
        <v>-159283</v>
      </c>
      <c r="Q34" s="18">
        <f>+[1]NewAlbany!AY175</f>
        <v>-159283</v>
      </c>
      <c r="R34" s="18">
        <f>+P34-Q34</f>
        <v>0</v>
      </c>
    </row>
    <row r="35" spans="1:18" x14ac:dyDescent="0.2">
      <c r="A35" s="17" t="s">
        <v>75</v>
      </c>
      <c r="C35" s="42">
        <v>0</v>
      </c>
      <c r="D35" s="42">
        <v>7392.7297499999995</v>
      </c>
      <c r="E35" s="42">
        <v>4682.3761249999998</v>
      </c>
      <c r="F35" s="42">
        <v>4180.8307500000001</v>
      </c>
      <c r="G35" s="42">
        <v>4002</v>
      </c>
      <c r="H35" s="42">
        <v>3814</v>
      </c>
      <c r="I35" s="42"/>
      <c r="J35" s="42"/>
      <c r="K35" s="42"/>
      <c r="L35" s="42">
        <v>0</v>
      </c>
      <c r="M35" s="42"/>
      <c r="N35" s="42">
        <v>0</v>
      </c>
      <c r="O35" s="28">
        <v>0</v>
      </c>
      <c r="P35" s="11">
        <f t="shared" si="4"/>
        <v>24071.936624999998</v>
      </c>
      <c r="Q35" s="18">
        <f>+[1]NewAlbany!AY176</f>
        <v>24072.18</v>
      </c>
      <c r="R35" s="18">
        <f>+P35-Q35</f>
        <v>-0.24337500000183354</v>
      </c>
    </row>
    <row r="36" spans="1:18" x14ac:dyDescent="0.2">
      <c r="A36" s="17" t="s">
        <v>31</v>
      </c>
      <c r="C36" s="40">
        <v>68386</v>
      </c>
      <c r="D36" s="40">
        <v>811038</v>
      </c>
      <c r="E36" s="40">
        <v>0</v>
      </c>
      <c r="F36" s="40">
        <v>0</v>
      </c>
      <c r="G36" s="40">
        <v>0</v>
      </c>
      <c r="H36" s="40">
        <v>83333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83333</v>
      </c>
      <c r="O36" s="17">
        <v>107680</v>
      </c>
      <c r="P36" s="11">
        <f t="shared" si="4"/>
        <v>1153770</v>
      </c>
      <c r="Q36" s="18">
        <f>+[1]NewAlbany!AY189</f>
        <v>1153769.7033333334</v>
      </c>
      <c r="R36" s="18">
        <f>+P36-Q36</f>
        <v>0.29666666663251817</v>
      </c>
    </row>
    <row r="37" spans="1:18" x14ac:dyDescent="0.2">
      <c r="A37" s="17" t="s">
        <v>119</v>
      </c>
      <c r="C37" s="40">
        <v>0</v>
      </c>
      <c r="D37" s="40"/>
      <c r="E37" s="40"/>
      <c r="F37" s="40"/>
      <c r="G37" s="40">
        <v>2666</v>
      </c>
      <c r="H37" s="40">
        <v>-18334</v>
      </c>
      <c r="I37" s="40"/>
      <c r="J37" s="40">
        <v>0</v>
      </c>
      <c r="K37" s="40">
        <v>0</v>
      </c>
      <c r="L37" s="40"/>
      <c r="M37" s="40"/>
      <c r="N37" s="40"/>
      <c r="P37" s="11">
        <f t="shared" si="4"/>
        <v>-15668</v>
      </c>
      <c r="Q37" s="18">
        <f>+[1]NewAlbany!AY177</f>
        <v>-15668</v>
      </c>
      <c r="R37" s="18">
        <f>+P37-Q37</f>
        <v>0</v>
      </c>
    </row>
    <row r="38" spans="1:18" x14ac:dyDescent="0.2">
      <c r="A38" s="17" t="s">
        <v>80</v>
      </c>
      <c r="C38" s="43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20">
        <v>0</v>
      </c>
      <c r="P38" s="11">
        <f t="shared" si="4"/>
        <v>0</v>
      </c>
    </row>
    <row r="39" spans="1:18" x14ac:dyDescent="0.2">
      <c r="A39" s="17" t="s">
        <v>65</v>
      </c>
      <c r="C39" s="41">
        <f t="shared" ref="C39:O39" si="5">SUM(C33:C38)</f>
        <v>1430627</v>
      </c>
      <c r="D39" s="41">
        <f t="shared" si="5"/>
        <v>1254508.7297499999</v>
      </c>
      <c r="E39" s="41">
        <f t="shared" si="5"/>
        <v>438715.59369399172</v>
      </c>
      <c r="F39" s="41">
        <f t="shared" si="5"/>
        <v>332019.53035179339</v>
      </c>
      <c r="G39" s="41">
        <f t="shared" si="5"/>
        <v>447867.13556929753</v>
      </c>
      <c r="H39" s="41">
        <f t="shared" si="5"/>
        <v>333696</v>
      </c>
      <c r="I39" s="41">
        <f t="shared" si="5"/>
        <v>738348</v>
      </c>
      <c r="J39" s="41">
        <f t="shared" si="5"/>
        <v>659904.5</v>
      </c>
      <c r="K39" s="41">
        <f t="shared" si="5"/>
        <v>-659904</v>
      </c>
      <c r="L39" s="41">
        <f t="shared" si="5"/>
        <v>0</v>
      </c>
      <c r="M39" s="41">
        <f t="shared" si="5"/>
        <v>0</v>
      </c>
      <c r="N39" s="41">
        <f t="shared" si="5"/>
        <v>83333</v>
      </c>
      <c r="O39" s="21">
        <f t="shared" si="5"/>
        <v>107680</v>
      </c>
      <c r="P39" s="22">
        <f t="shared" si="4"/>
        <v>5166795.4893650822</v>
      </c>
    </row>
    <row r="40" spans="1:18" x14ac:dyDescent="0.2">
      <c r="A40" s="17" t="s">
        <v>68</v>
      </c>
      <c r="C40" s="41">
        <f>+C39</f>
        <v>1430627</v>
      </c>
      <c r="D40" s="41">
        <f t="shared" ref="D40:O40" si="6">+D39+C40</f>
        <v>2685135.7297499999</v>
      </c>
      <c r="E40" s="41">
        <f t="shared" si="6"/>
        <v>3123851.3234439916</v>
      </c>
      <c r="F40" s="41">
        <f t="shared" si="6"/>
        <v>3455870.853795785</v>
      </c>
      <c r="G40" s="41">
        <f t="shared" si="6"/>
        <v>3903737.9893650827</v>
      </c>
      <c r="H40" s="41">
        <f t="shared" si="6"/>
        <v>4237433.9893650822</v>
      </c>
      <c r="I40" s="41">
        <f t="shared" si="6"/>
        <v>4975781.9893650822</v>
      </c>
      <c r="J40" s="41">
        <f t="shared" si="6"/>
        <v>5635686.4893650822</v>
      </c>
      <c r="K40" s="41">
        <f t="shared" si="6"/>
        <v>4975782.4893650822</v>
      </c>
      <c r="L40" s="41">
        <f t="shared" si="6"/>
        <v>4975782.4893650822</v>
      </c>
      <c r="M40" s="41">
        <f t="shared" si="6"/>
        <v>4975782.4893650822</v>
      </c>
      <c r="N40" s="41">
        <f t="shared" si="6"/>
        <v>5059115.4893650822</v>
      </c>
      <c r="O40" s="21">
        <f t="shared" si="6"/>
        <v>5166795.4893650822</v>
      </c>
      <c r="P40" s="11"/>
    </row>
    <row r="41" spans="1:18" x14ac:dyDescent="0.2">
      <c r="A41" s="17"/>
      <c r="C41" s="43"/>
      <c r="D41" s="42"/>
      <c r="E41" s="42"/>
      <c r="F41" s="20"/>
      <c r="G41" s="42"/>
      <c r="H41" s="42"/>
      <c r="I41" s="42"/>
      <c r="J41" s="42"/>
      <c r="K41" s="42"/>
      <c r="L41" s="42"/>
      <c r="M41" s="42"/>
      <c r="N41" s="42"/>
      <c r="O41" s="20"/>
      <c r="P41" s="11"/>
    </row>
    <row r="42" spans="1:18" s="4" customFormat="1" x14ac:dyDescent="0.2">
      <c r="A42" s="4" t="s">
        <v>85</v>
      </c>
      <c r="C42" s="36">
        <f t="shared" ref="C42:K42" si="7">+C29+C39</f>
        <v>64968860.68</v>
      </c>
      <c r="D42" s="36">
        <f t="shared" si="7"/>
        <v>19590653.72975</v>
      </c>
      <c r="E42" s="36">
        <f t="shared" si="7"/>
        <v>572532.59369399166</v>
      </c>
      <c r="F42" s="36">
        <f t="shared" si="7"/>
        <v>-106876.06964820623</v>
      </c>
      <c r="G42" s="36">
        <f t="shared" si="7"/>
        <v>8307660.1355692977</v>
      </c>
      <c r="H42" s="36">
        <f t="shared" si="7"/>
        <v>15855933</v>
      </c>
      <c r="I42" s="36">
        <f t="shared" si="7"/>
        <v>8226099</v>
      </c>
      <c r="J42" s="36">
        <f t="shared" si="7"/>
        <v>10079974.5</v>
      </c>
      <c r="K42" s="36">
        <f t="shared" si="7"/>
        <v>5897945</v>
      </c>
      <c r="L42" s="36">
        <f>+L29+L39</f>
        <v>6912180</v>
      </c>
      <c r="M42" s="36">
        <f>+M29+M39</f>
        <v>2135307</v>
      </c>
      <c r="N42" s="36">
        <f>+N29+N39</f>
        <v>1466809</v>
      </c>
      <c r="O42" s="4">
        <f>+O29+O39</f>
        <v>4356675</v>
      </c>
      <c r="P42" s="11">
        <f>SUM(C42:O42)</f>
        <v>148263753.56936508</v>
      </c>
    </row>
    <row r="43" spans="1:18" s="4" customFormat="1" x14ac:dyDescent="0.2">
      <c r="A43" s="4" t="s">
        <v>45</v>
      </c>
      <c r="C43" s="36">
        <f>C42</f>
        <v>64968860.68</v>
      </c>
      <c r="D43" s="36">
        <f t="shared" ref="D43:O43" si="8">C43+D42</f>
        <v>84559514.40975</v>
      </c>
      <c r="E43" s="36">
        <f t="shared" si="8"/>
        <v>85132047.003443986</v>
      </c>
      <c r="F43" s="36">
        <f t="shared" si="8"/>
        <v>85025170.93379578</v>
      </c>
      <c r="G43" s="36">
        <f t="shared" si="8"/>
        <v>93332831.069365084</v>
      </c>
      <c r="H43" s="36">
        <f t="shared" si="8"/>
        <v>109188764.06936508</v>
      </c>
      <c r="I43" s="36">
        <f t="shared" si="8"/>
        <v>117414863.06936508</v>
      </c>
      <c r="J43" s="36">
        <f t="shared" si="8"/>
        <v>127494837.56936508</v>
      </c>
      <c r="K43" s="36">
        <f t="shared" si="8"/>
        <v>133392782.56936508</v>
      </c>
      <c r="L43" s="36">
        <f t="shared" si="8"/>
        <v>140304962.56936508</v>
      </c>
      <c r="M43" s="36">
        <f t="shared" si="8"/>
        <v>142440269.56936508</v>
      </c>
      <c r="N43" s="36">
        <f t="shared" si="8"/>
        <v>143907078.56936508</v>
      </c>
      <c r="O43" s="4">
        <f t="shared" si="8"/>
        <v>148263753.56936508</v>
      </c>
      <c r="P43" s="11"/>
    </row>
    <row r="44" spans="1:18" s="4" customFormat="1" x14ac:dyDescent="0.2">
      <c r="A44" s="17" t="s">
        <v>64</v>
      </c>
      <c r="C44" s="36"/>
      <c r="D44" s="36"/>
      <c r="E44" s="36"/>
      <c r="G44" s="36"/>
      <c r="H44" s="36"/>
      <c r="J44" s="36"/>
      <c r="K44" s="36"/>
      <c r="L44" s="36"/>
      <c r="M44" s="36"/>
      <c r="N44" s="36"/>
      <c r="P44" s="16">
        <f>+P42/C59/1000</f>
        <v>383.11047433944464</v>
      </c>
    </row>
    <row r="45" spans="1:18" x14ac:dyDescent="0.2">
      <c r="C45" s="36"/>
      <c r="D45" s="40"/>
      <c r="E45" s="40"/>
      <c r="G45" s="40"/>
      <c r="H45" s="40"/>
      <c r="J45" s="40"/>
      <c r="K45" s="40"/>
      <c r="L45" s="40"/>
      <c r="M45" s="40"/>
      <c r="N45" s="40"/>
      <c r="P45" s="11"/>
    </row>
    <row r="46" spans="1:18" x14ac:dyDescent="0.2">
      <c r="A46" s="17" t="s">
        <v>39</v>
      </c>
      <c r="C46" s="36">
        <v>0</v>
      </c>
      <c r="D46" s="40"/>
      <c r="E46" s="40"/>
      <c r="G46" s="40"/>
      <c r="H46" s="40"/>
      <c r="I46" s="18">
        <v>0</v>
      </c>
      <c r="J46" s="40"/>
      <c r="K46" s="40"/>
      <c r="L46" s="40"/>
      <c r="M46" s="40"/>
      <c r="N46" s="40"/>
      <c r="P46" s="22">
        <f>SUM(C46:O46)</f>
        <v>0</v>
      </c>
    </row>
    <row r="47" spans="1:18" s="4" customFormat="1" x14ac:dyDescent="0.2">
      <c r="A47" s="8"/>
      <c r="C47" s="35"/>
      <c r="D47" s="36"/>
      <c r="E47" s="36"/>
      <c r="G47" s="36"/>
      <c r="H47" s="36"/>
      <c r="J47" s="36"/>
      <c r="K47" s="36"/>
      <c r="L47" s="36"/>
      <c r="M47" s="36"/>
      <c r="N47" s="36"/>
      <c r="P47" s="11"/>
    </row>
    <row r="48" spans="1:18" x14ac:dyDescent="0.2">
      <c r="A48" s="17" t="s">
        <v>69</v>
      </c>
      <c r="C48" s="36">
        <f t="shared" ref="C48:K48" si="9">+C42-C33</f>
        <v>63606619.68</v>
      </c>
      <c r="D48" s="36">
        <f t="shared" si="9"/>
        <v>19154575.72975</v>
      </c>
      <c r="E48" s="36">
        <f t="shared" si="9"/>
        <v>138499.37612499995</v>
      </c>
      <c r="F48" s="36">
        <f t="shared" si="9"/>
        <v>-529613.76924999966</v>
      </c>
      <c r="G48" s="36">
        <f t="shared" si="9"/>
        <v>7802077</v>
      </c>
      <c r="H48" s="36">
        <f t="shared" si="9"/>
        <v>15591050</v>
      </c>
      <c r="I48" s="36">
        <f t="shared" si="9"/>
        <v>7487751</v>
      </c>
      <c r="J48" s="36">
        <f t="shared" si="9"/>
        <v>9420070</v>
      </c>
      <c r="K48" s="36">
        <f t="shared" si="9"/>
        <v>6557849</v>
      </c>
      <c r="L48" s="36">
        <f>ROUND(+L42-L33,0)</f>
        <v>6912180</v>
      </c>
      <c r="M48" s="36">
        <f>+M42-M33</f>
        <v>2135307</v>
      </c>
      <c r="N48" s="36">
        <f>+N42-N33</f>
        <v>1466809</v>
      </c>
      <c r="O48" s="4">
        <f>+O42-O33</f>
        <v>4356675</v>
      </c>
      <c r="P48" s="11">
        <f>SUM(C48:O48)</f>
        <v>144099849.01662499</v>
      </c>
    </row>
    <row r="49" spans="1:18" hidden="1" x14ac:dyDescent="0.2">
      <c r="A49" s="17" t="s">
        <v>82</v>
      </c>
      <c r="C49" s="37">
        <f>63865968+5818345+133167+40682</f>
        <v>69858162</v>
      </c>
      <c r="D49" s="37">
        <f>20473789+806250+395397+7393</f>
        <v>21682829</v>
      </c>
      <c r="E49" s="37">
        <f>3573648+434033+4682</f>
        <v>4012363</v>
      </c>
      <c r="F49" s="37">
        <f>1000000+422738+4181</f>
        <v>1426919</v>
      </c>
      <c r="G49" s="36">
        <f>IF(+G43-F50-G48&gt;0,G43-F50-G48,250000)</f>
        <v>250000</v>
      </c>
      <c r="H49" s="36">
        <v>0</v>
      </c>
      <c r="I49" s="36">
        <v>0</v>
      </c>
      <c r="J49" s="36">
        <v>0</v>
      </c>
      <c r="K49" s="36">
        <v>0</v>
      </c>
      <c r="L49" s="36"/>
      <c r="M49" s="36"/>
      <c r="N49" s="36"/>
      <c r="O49" s="4"/>
      <c r="P49" s="11"/>
    </row>
    <row r="50" spans="1:18" hidden="1" x14ac:dyDescent="0.2">
      <c r="A50" s="17" t="s">
        <v>83</v>
      </c>
      <c r="C50" s="36">
        <f>+C49</f>
        <v>69858162</v>
      </c>
      <c r="D50" s="36">
        <f t="shared" ref="D50:K50" si="10">+D49+C50</f>
        <v>91540991</v>
      </c>
      <c r="E50" s="36">
        <f t="shared" si="10"/>
        <v>95553354</v>
      </c>
      <c r="F50" s="36">
        <f t="shared" si="10"/>
        <v>96980273</v>
      </c>
      <c r="G50" s="36">
        <f t="shared" si="10"/>
        <v>97230273</v>
      </c>
      <c r="H50" s="36">
        <v>0</v>
      </c>
      <c r="I50" s="36">
        <f t="shared" si="10"/>
        <v>0</v>
      </c>
      <c r="J50" s="36">
        <f t="shared" si="10"/>
        <v>0</v>
      </c>
      <c r="K50" s="36">
        <f t="shared" si="10"/>
        <v>0</v>
      </c>
      <c r="L50" s="36"/>
      <c r="M50" s="36"/>
      <c r="N50" s="36"/>
      <c r="O50" s="4"/>
      <c r="P50" s="11"/>
    </row>
    <row r="51" spans="1:18" x14ac:dyDescent="0.2">
      <c r="C51" s="36"/>
      <c r="D51" s="40"/>
      <c r="E51" s="40"/>
      <c r="G51" s="40"/>
      <c r="H51" s="40"/>
      <c r="I51" s="40"/>
      <c r="J51" s="40"/>
      <c r="K51" s="40"/>
      <c r="L51" s="40"/>
      <c r="M51" s="40"/>
      <c r="N51" s="40"/>
      <c r="P51" s="11"/>
    </row>
    <row r="52" spans="1:18" ht="13.5" thickBot="1" x14ac:dyDescent="0.25">
      <c r="A52" s="4" t="s">
        <v>74</v>
      </c>
      <c r="C52" s="44">
        <f>+C42</f>
        <v>64968860.68</v>
      </c>
      <c r="D52" s="44">
        <f t="shared" ref="D52:O52" si="11">+D42</f>
        <v>19590653.72975</v>
      </c>
      <c r="E52" s="44">
        <f t="shared" si="11"/>
        <v>572532.59369399166</v>
      </c>
      <c r="F52" s="44">
        <f t="shared" si="11"/>
        <v>-106876.06964820623</v>
      </c>
      <c r="G52" s="44">
        <f>+G42</f>
        <v>8307660.1355692977</v>
      </c>
      <c r="H52" s="44">
        <f t="shared" si="11"/>
        <v>15855933</v>
      </c>
      <c r="I52" s="44">
        <f t="shared" si="11"/>
        <v>8226099</v>
      </c>
      <c r="J52" s="44">
        <f t="shared" si="11"/>
        <v>10079974.5</v>
      </c>
      <c r="K52" s="44">
        <f t="shared" si="11"/>
        <v>5897945</v>
      </c>
      <c r="L52" s="44">
        <f t="shared" si="11"/>
        <v>6912180</v>
      </c>
      <c r="M52" s="44">
        <f t="shared" si="11"/>
        <v>2135307</v>
      </c>
      <c r="N52" s="44">
        <f t="shared" si="11"/>
        <v>1466809</v>
      </c>
      <c r="O52" s="44">
        <f t="shared" si="11"/>
        <v>4356675</v>
      </c>
      <c r="P52" s="30">
        <f>SUM(C52:O52)</f>
        <v>148263753.56936508</v>
      </c>
      <c r="R52" s="18">
        <f>SUM(R9:R51)</f>
        <v>0.11003174883444444</v>
      </c>
    </row>
    <row r="53" spans="1:18" ht="13.5" thickBot="1" x14ac:dyDescent="0.25">
      <c r="A53" s="4" t="s">
        <v>84</v>
      </c>
      <c r="C53" s="45">
        <f>+C52</f>
        <v>64968860.68</v>
      </c>
      <c r="D53" s="45">
        <f t="shared" ref="D53:O53" si="12">+D52+C53</f>
        <v>84559514.40975</v>
      </c>
      <c r="E53" s="45">
        <f t="shared" si="12"/>
        <v>85132047.003443986</v>
      </c>
      <c r="F53" s="45">
        <f t="shared" si="12"/>
        <v>85025170.93379578</v>
      </c>
      <c r="G53" s="45">
        <f t="shared" si="12"/>
        <v>93332831.069365084</v>
      </c>
      <c r="H53" s="45">
        <f t="shared" si="12"/>
        <v>109188764.06936508</v>
      </c>
      <c r="I53" s="45">
        <f t="shared" si="12"/>
        <v>117414863.06936508</v>
      </c>
      <c r="J53" s="45">
        <f t="shared" si="12"/>
        <v>127494837.56936508</v>
      </c>
      <c r="K53" s="45">
        <f t="shared" si="12"/>
        <v>133392782.56936508</v>
      </c>
      <c r="L53" s="45">
        <f t="shared" si="12"/>
        <v>140304962.56936508</v>
      </c>
      <c r="M53" s="45">
        <f t="shared" si="12"/>
        <v>142440269.56936508</v>
      </c>
      <c r="N53" s="45">
        <f t="shared" si="12"/>
        <v>143907078.56936508</v>
      </c>
      <c r="O53" s="32">
        <f t="shared" si="12"/>
        <v>148263753.56936508</v>
      </c>
      <c r="P53" s="11"/>
    </row>
    <row r="54" spans="1:18" x14ac:dyDescent="0.2">
      <c r="C54" s="36"/>
      <c r="D54" s="40"/>
      <c r="E54" s="40"/>
      <c r="F54" s="40"/>
      <c r="G54" s="40"/>
      <c r="H54" s="40"/>
      <c r="I54" s="40"/>
      <c r="L54" s="40"/>
      <c r="M54" s="40"/>
      <c r="N54" s="40"/>
      <c r="P54" s="39"/>
    </row>
    <row r="55" spans="1:18" ht="13.5" thickBot="1" x14ac:dyDescent="0.25">
      <c r="A55" s="4" t="s">
        <v>73</v>
      </c>
      <c r="C55" s="44">
        <f t="shared" ref="C55:P55" si="13">+C52+C46</f>
        <v>64968860.68</v>
      </c>
      <c r="D55" s="44">
        <f t="shared" si="13"/>
        <v>19590653.72975</v>
      </c>
      <c r="E55" s="44">
        <f t="shared" si="13"/>
        <v>572532.59369399166</v>
      </c>
      <c r="F55" s="44">
        <f t="shared" si="13"/>
        <v>-106876.06964820623</v>
      </c>
      <c r="G55" s="44">
        <f t="shared" si="13"/>
        <v>8307660.1355692977</v>
      </c>
      <c r="H55" s="44">
        <f t="shared" si="13"/>
        <v>15855933</v>
      </c>
      <c r="I55" s="44">
        <f t="shared" si="13"/>
        <v>8226099</v>
      </c>
      <c r="J55" s="29">
        <f t="shared" si="13"/>
        <v>10079974.5</v>
      </c>
      <c r="K55" s="29">
        <f t="shared" si="13"/>
        <v>5897945</v>
      </c>
      <c r="L55" s="44">
        <f t="shared" si="13"/>
        <v>6912180</v>
      </c>
      <c r="M55" s="44">
        <f t="shared" si="13"/>
        <v>2135307</v>
      </c>
      <c r="N55" s="44">
        <f t="shared" si="13"/>
        <v>1466809</v>
      </c>
      <c r="O55" s="29">
        <f t="shared" si="13"/>
        <v>4356675</v>
      </c>
      <c r="P55" s="30">
        <f t="shared" si="13"/>
        <v>148263753.56936508</v>
      </c>
      <c r="Q55" s="18">
        <f>+[1]NewAlbany!AY220</f>
        <v>148263753.12733331</v>
      </c>
      <c r="R55" s="18">
        <f>+Q55-P55</f>
        <v>-0.44203177094459534</v>
      </c>
    </row>
    <row r="56" spans="1:18" x14ac:dyDescent="0.2">
      <c r="G56" s="40"/>
      <c r="I56" s="40"/>
      <c r="L56" s="40"/>
      <c r="M56" s="40"/>
      <c r="P56"/>
    </row>
    <row r="57" spans="1:18" s="4" customFormat="1" x14ac:dyDescent="0.2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35">
        <v>6.5000000000000002E-2</v>
      </c>
      <c r="I57" s="35">
        <v>6.5000000000000002E-2</v>
      </c>
      <c r="J57" s="12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38"/>
    </row>
    <row r="58" spans="1:18" s="4" customFormat="1" x14ac:dyDescent="0.2">
      <c r="A58" s="33" t="s">
        <v>123</v>
      </c>
      <c r="C58" s="46">
        <v>1.5E-3</v>
      </c>
      <c r="D58" s="73"/>
      <c r="E58" s="9"/>
      <c r="F58" s="9"/>
      <c r="G58" s="9"/>
      <c r="H58" s="9"/>
      <c r="I58" s="43"/>
      <c r="J58" s="9"/>
      <c r="P58" s="38"/>
    </row>
    <row r="59" spans="1:18" s="4" customFormat="1" x14ac:dyDescent="0.2">
      <c r="A59" s="8"/>
      <c r="C59" s="4">
        <v>387</v>
      </c>
      <c r="D59" s="4" t="s">
        <v>66</v>
      </c>
      <c r="I59" s="36"/>
      <c r="P59" s="38"/>
    </row>
    <row r="61" spans="1:18" x14ac:dyDescent="0.2">
      <c r="C61" s="36" t="s">
        <v>89</v>
      </c>
      <c r="D61" s="17" t="s">
        <v>90</v>
      </c>
    </row>
    <row r="62" spans="1:18" x14ac:dyDescent="0.2">
      <c r="C62" s="37"/>
      <c r="D62" s="17" t="s">
        <v>124</v>
      </c>
    </row>
    <row r="64" spans="1:18" s="6" customFormat="1" x14ac:dyDescent="0.2">
      <c r="A64" s="66"/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7"/>
    </row>
    <row r="65" spans="1:17" s="6" customFormat="1" x14ac:dyDescent="0.2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</row>
    <row r="66" spans="1:17" ht="19.5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9"/>
      <c r="Q66" s="20"/>
    </row>
    <row r="67" spans="1:17" x14ac:dyDescent="0.2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9"/>
      <c r="Q67" s="20"/>
    </row>
    <row r="68" spans="1:17" x14ac:dyDescent="0.2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9"/>
      <c r="Q68" s="20"/>
    </row>
    <row r="69" spans="1:17" x14ac:dyDescent="0.2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20"/>
    </row>
    <row r="70" spans="1:17" x14ac:dyDescent="0.2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20"/>
    </row>
    <row r="71" spans="1:17" x14ac:dyDescent="0.2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20"/>
    </row>
    <row r="72" spans="1:17" x14ac:dyDescent="0.2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72"/>
      <c r="Q72" s="20"/>
    </row>
  </sheetData>
  <printOptions horizontalCentered="1"/>
  <pageMargins left="0.25" right="0.25" top="0.25" bottom="0.25" header="0.25" footer="0.5"/>
  <pageSetup scale="56" orientation="landscape" cellComments="asDisplayed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topLeftCell="A34" workbookViewId="0">
      <selection activeCell="A68" sqref="A68"/>
    </sheetView>
  </sheetViews>
  <sheetFormatPr defaultRowHeight="12.75" x14ac:dyDescent="0.2"/>
  <cols>
    <col min="1" max="1" width="20.85546875" bestFit="1" customWidth="1"/>
    <col min="3" max="3" width="13.140625" style="47" customWidth="1"/>
    <col min="4" max="4" width="17.7109375" style="48" customWidth="1"/>
    <col min="5" max="5" width="17.5703125" style="48" customWidth="1"/>
    <col min="6" max="6" width="17.7109375" style="48" customWidth="1"/>
    <col min="7" max="7" width="18.140625" style="48" customWidth="1"/>
  </cols>
  <sheetData>
    <row r="1" spans="1:7" ht="15.75" x14ac:dyDescent="0.25">
      <c r="A1" s="1" t="s">
        <v>0</v>
      </c>
    </row>
    <row r="2" spans="1:7" ht="15.75" x14ac:dyDescent="0.25">
      <c r="A2" s="1" t="s">
        <v>1</v>
      </c>
    </row>
    <row r="3" spans="1:7" s="49" customFormat="1" ht="15.75" x14ac:dyDescent="0.25">
      <c r="A3" s="1" t="s">
        <v>95</v>
      </c>
      <c r="D3" s="50"/>
      <c r="E3" s="50"/>
      <c r="F3" s="50"/>
      <c r="G3" s="50"/>
    </row>
    <row r="4" spans="1:7" s="49" customFormat="1" ht="15.75" x14ac:dyDescent="0.25">
      <c r="A4" s="1" t="s">
        <v>96</v>
      </c>
      <c r="D4" s="50"/>
      <c r="E4" s="50"/>
      <c r="F4" s="50"/>
      <c r="G4" s="50"/>
    </row>
    <row r="5" spans="1:7" s="49" customFormat="1" ht="15.75" x14ac:dyDescent="0.25">
      <c r="A5" s="1"/>
      <c r="D5" s="50"/>
      <c r="E5" s="50"/>
      <c r="F5" s="50"/>
      <c r="G5" s="50"/>
    </row>
    <row r="6" spans="1:7" s="49" customFormat="1" ht="15.75" x14ac:dyDescent="0.25">
      <c r="A6" s="1"/>
      <c r="C6" s="51"/>
      <c r="D6" s="50"/>
      <c r="E6" s="50"/>
      <c r="F6" s="50"/>
      <c r="G6" s="50"/>
    </row>
    <row r="7" spans="1:7" s="49" customFormat="1" ht="15.75" x14ac:dyDescent="0.25">
      <c r="A7" s="1"/>
      <c r="B7" s="49" t="s">
        <v>97</v>
      </c>
      <c r="C7" s="51" t="s">
        <v>98</v>
      </c>
      <c r="D7" s="50"/>
      <c r="E7" s="50"/>
      <c r="F7" s="50"/>
      <c r="G7" s="50"/>
    </row>
    <row r="8" spans="1:7" s="52" customFormat="1" x14ac:dyDescent="0.2">
      <c r="A8" s="52" t="s">
        <v>99</v>
      </c>
      <c r="B8" s="52" t="s">
        <v>100</v>
      </c>
      <c r="C8" s="53" t="s">
        <v>101</v>
      </c>
      <c r="D8" s="54" t="s">
        <v>102</v>
      </c>
      <c r="E8" s="54" t="s">
        <v>103</v>
      </c>
      <c r="F8" s="54" t="s">
        <v>104</v>
      </c>
      <c r="G8" s="54" t="s">
        <v>5</v>
      </c>
    </row>
    <row r="9" spans="1:7" x14ac:dyDescent="0.2">
      <c r="C9" s="55" t="s">
        <v>105</v>
      </c>
    </row>
    <row r="10" spans="1:7" x14ac:dyDescent="0.2">
      <c r="C10" s="56" t="s">
        <v>106</v>
      </c>
    </row>
    <row r="11" spans="1:7" x14ac:dyDescent="0.2">
      <c r="C11" s="57"/>
    </row>
    <row r="12" spans="1:7" x14ac:dyDescent="0.2">
      <c r="A12" t="s">
        <v>107</v>
      </c>
      <c r="B12" s="58">
        <v>36150</v>
      </c>
      <c r="D12" s="48">
        <v>61516763</v>
      </c>
      <c r="E12" s="48">
        <v>43104549</v>
      </c>
      <c r="F12" s="48">
        <v>63865968</v>
      </c>
      <c r="G12" s="48">
        <f>SUM(D12:F12)</f>
        <v>168487280</v>
      </c>
    </row>
    <row r="13" spans="1:7" x14ac:dyDescent="0.2">
      <c r="B13" s="58"/>
    </row>
    <row r="14" spans="1:7" x14ac:dyDescent="0.2">
      <c r="A14" t="s">
        <v>108</v>
      </c>
      <c r="B14" s="58">
        <v>36153</v>
      </c>
      <c r="D14" s="48">
        <v>9309496</v>
      </c>
      <c r="E14" s="48">
        <v>12435707</v>
      </c>
      <c r="F14" s="48">
        <v>5818345</v>
      </c>
      <c r="G14" s="48">
        <f>SUM(D14:F14)</f>
        <v>27563548</v>
      </c>
    </row>
    <row r="15" spans="1:7" x14ac:dyDescent="0.2">
      <c r="A15" t="s">
        <v>109</v>
      </c>
      <c r="B15" s="58"/>
      <c r="D15" s="48">
        <v>126458.5</v>
      </c>
      <c r="E15" s="48">
        <v>150775</v>
      </c>
      <c r="F15" s="48">
        <v>133166.5</v>
      </c>
      <c r="G15" s="48">
        <f>SUM(D15:F15)</f>
        <v>410400</v>
      </c>
    </row>
    <row r="16" spans="1:7" x14ac:dyDescent="0.2">
      <c r="A16" t="s">
        <v>98</v>
      </c>
      <c r="B16" s="58"/>
      <c r="C16" s="47">
        <v>7.7499999999999999E-2</v>
      </c>
      <c r="D16" s="48">
        <v>39185.339999999997</v>
      </c>
      <c r="E16" s="48">
        <v>27457.01</v>
      </c>
      <c r="F16" s="48">
        <v>40681.75</v>
      </c>
      <c r="G16" s="48">
        <f>SUM(D16:F16)</f>
        <v>107324.09999999999</v>
      </c>
    </row>
    <row r="17" spans="1:7" x14ac:dyDescent="0.2">
      <c r="A17" t="s">
        <v>110</v>
      </c>
      <c r="B17" s="58"/>
      <c r="D17" s="59">
        <f>SUM(D14:D16)</f>
        <v>9475139.8399999999</v>
      </c>
      <c r="E17" s="59">
        <f>SUM(E14:E16)</f>
        <v>12613939.01</v>
      </c>
      <c r="F17" s="59">
        <f>SUM(F14:F16)</f>
        <v>5992193.25</v>
      </c>
      <c r="G17" s="59">
        <f>SUM(G14:G16)</f>
        <v>28081272.100000001</v>
      </c>
    </row>
    <row r="18" spans="1:7" x14ac:dyDescent="0.2">
      <c r="A18" t="s">
        <v>111</v>
      </c>
      <c r="B18" s="58"/>
      <c r="D18" s="59">
        <f>+D12+D17</f>
        <v>70991902.840000004</v>
      </c>
      <c r="E18" s="59">
        <f>+E12+E17</f>
        <v>55718488.009999998</v>
      </c>
      <c r="F18" s="59">
        <f>+F12+F17</f>
        <v>69858161.25</v>
      </c>
      <c r="G18" s="59">
        <f>+G12+G17</f>
        <v>196568552.09999999</v>
      </c>
    </row>
    <row r="19" spans="1:7" x14ac:dyDescent="0.2">
      <c r="B19" s="58"/>
    </row>
    <row r="20" spans="1:7" x14ac:dyDescent="0.2">
      <c r="A20" t="s">
        <v>112</v>
      </c>
      <c r="B20" s="58">
        <v>36185</v>
      </c>
      <c r="D20" s="48">
        <v>6803830</v>
      </c>
      <c r="E20" s="48">
        <v>10781519</v>
      </c>
      <c r="F20" s="48">
        <v>20473789</v>
      </c>
      <c r="G20" s="48">
        <f>SUM(D20:F20)</f>
        <v>38059138</v>
      </c>
    </row>
    <row r="21" spans="1:7" x14ac:dyDescent="0.2">
      <c r="A21" t="s">
        <v>109</v>
      </c>
      <c r="B21" s="58"/>
      <c r="D21" s="48">
        <v>756250</v>
      </c>
      <c r="E21" s="48">
        <v>937500</v>
      </c>
      <c r="F21" s="48">
        <v>806250</v>
      </c>
      <c r="G21" s="48">
        <f>SUM(D21:F21)</f>
        <v>2500000</v>
      </c>
    </row>
    <row r="22" spans="1:7" x14ac:dyDescent="0.2">
      <c r="A22" t="s">
        <v>98</v>
      </c>
      <c r="B22" s="58"/>
      <c r="C22" s="47">
        <v>6.3674999999999995E-2</v>
      </c>
      <c r="D22" s="48">
        <v>401814.17</v>
      </c>
      <c r="E22" s="48">
        <v>315366.64</v>
      </c>
      <c r="F22" s="48">
        <v>395397.19</v>
      </c>
      <c r="G22" s="48">
        <f>SUM(D22:F22)</f>
        <v>1112578</v>
      </c>
    </row>
    <row r="23" spans="1:7" x14ac:dyDescent="0.2">
      <c r="A23" t="s">
        <v>75</v>
      </c>
      <c r="B23" s="58"/>
      <c r="C23" s="47">
        <v>3.5000000000000001E-3</v>
      </c>
      <c r="D23" s="48">
        <v>6251.01</v>
      </c>
      <c r="E23" s="48">
        <v>11785.19</v>
      </c>
      <c r="F23" s="48">
        <v>7392.73</v>
      </c>
      <c r="G23" s="48">
        <f>SUM(D23:F23)</f>
        <v>25428.93</v>
      </c>
    </row>
    <row r="24" spans="1:7" x14ac:dyDescent="0.2">
      <c r="A24" t="s">
        <v>110</v>
      </c>
      <c r="B24" s="58"/>
      <c r="D24" s="59">
        <f>SUM(D20:D23)</f>
        <v>7968145.1799999997</v>
      </c>
      <c r="E24" s="59">
        <f>SUM(E20:E23)</f>
        <v>12046170.83</v>
      </c>
      <c r="F24" s="59">
        <f>SUM(F20:F23)</f>
        <v>21682828.920000002</v>
      </c>
      <c r="G24" s="59">
        <f>SUM(G20:G23)</f>
        <v>41697144.93</v>
      </c>
    </row>
    <row r="25" spans="1:7" x14ac:dyDescent="0.2">
      <c r="A25" t="s">
        <v>111</v>
      </c>
      <c r="B25" s="58"/>
      <c r="D25" s="59">
        <f>+D18+D24</f>
        <v>78960048.020000011</v>
      </c>
      <c r="E25" s="59">
        <f>+E18+E24</f>
        <v>67764658.840000004</v>
      </c>
      <c r="F25" s="59">
        <f>+F18+F24</f>
        <v>91540990.170000002</v>
      </c>
      <c r="G25" s="59">
        <f>+G18+G24</f>
        <v>238265697.03</v>
      </c>
    </row>
    <row r="27" spans="1:7" x14ac:dyDescent="0.2">
      <c r="A27" t="s">
        <v>113</v>
      </c>
      <c r="B27" s="58">
        <v>36215</v>
      </c>
      <c r="D27" s="48">
        <v>9173314</v>
      </c>
      <c r="E27" s="48">
        <v>32244564</v>
      </c>
      <c r="F27" s="48">
        <v>3573648</v>
      </c>
      <c r="G27" s="48">
        <f>SUM(D27:F27)</f>
        <v>44991526</v>
      </c>
    </row>
    <row r="28" spans="1:7" x14ac:dyDescent="0.2">
      <c r="A28" t="s">
        <v>109</v>
      </c>
      <c r="B28" s="58"/>
      <c r="D28" s="48">
        <v>0</v>
      </c>
      <c r="E28" s="48">
        <v>0</v>
      </c>
      <c r="F28" s="48">
        <v>0</v>
      </c>
      <c r="G28" s="48">
        <f>SUM(D28:F28)</f>
        <v>0</v>
      </c>
    </row>
    <row r="29" spans="1:7" x14ac:dyDescent="0.2">
      <c r="A29" t="s">
        <v>98</v>
      </c>
      <c r="B29" s="58"/>
      <c r="C29" s="47">
        <v>5.68969E-2</v>
      </c>
      <c r="D29" s="48">
        <v>374381.83</v>
      </c>
      <c r="E29" s="48">
        <v>321299.92</v>
      </c>
      <c r="F29" s="48">
        <v>434033.21</v>
      </c>
      <c r="G29" s="48">
        <f>SUM(D29:F29)</f>
        <v>1129714.96</v>
      </c>
    </row>
    <row r="30" spans="1:7" x14ac:dyDescent="0.2">
      <c r="A30" t="s">
        <v>75</v>
      </c>
      <c r="B30" s="58"/>
      <c r="C30" s="47">
        <v>3.5000000000000001E-3</v>
      </c>
      <c r="D30" s="48">
        <v>5254.99</v>
      </c>
      <c r="E30" s="48">
        <v>10279.42</v>
      </c>
      <c r="F30" s="48">
        <v>4682.38</v>
      </c>
      <c r="G30" s="48">
        <f>SUM(D30:F30)</f>
        <v>20216.79</v>
      </c>
    </row>
    <row r="31" spans="1:7" x14ac:dyDescent="0.2">
      <c r="A31" t="s">
        <v>110</v>
      </c>
      <c r="B31" s="58"/>
      <c r="D31" s="59">
        <f>SUM(D27:D30)</f>
        <v>9552950.8200000003</v>
      </c>
      <c r="E31" s="59">
        <f>SUM(E27:E30)</f>
        <v>32576143.340000004</v>
      </c>
      <c r="F31" s="59">
        <f>SUM(F27:F30)</f>
        <v>4012363.59</v>
      </c>
      <c r="G31" s="59">
        <f>SUM(G27:G30)</f>
        <v>46141457.75</v>
      </c>
    </row>
    <row r="32" spans="1:7" x14ac:dyDescent="0.2">
      <c r="A32" t="s">
        <v>111</v>
      </c>
      <c r="B32" s="58"/>
      <c r="D32" s="59">
        <f>+D25+D31</f>
        <v>88512998.840000004</v>
      </c>
      <c r="E32" s="59">
        <f>+E25+E31</f>
        <v>100340802.18000001</v>
      </c>
      <c r="F32" s="59">
        <f>+F25+F31</f>
        <v>95553353.760000005</v>
      </c>
      <c r="G32" s="59">
        <f>+G25+G31</f>
        <v>284407154.77999997</v>
      </c>
    </row>
    <row r="34" spans="1:7" x14ac:dyDescent="0.2">
      <c r="A34" t="s">
        <v>114</v>
      </c>
      <c r="B34" s="58">
        <v>36243</v>
      </c>
      <c r="D34" s="48">
        <v>800000</v>
      </c>
      <c r="E34" s="48">
        <v>500000</v>
      </c>
      <c r="F34" s="48">
        <v>1000000</v>
      </c>
      <c r="G34" s="48">
        <f>SUM(D34:F34)</f>
        <v>2300000</v>
      </c>
    </row>
    <row r="35" spans="1:7" x14ac:dyDescent="0.2">
      <c r="A35" t="s">
        <v>109</v>
      </c>
      <c r="B35" s="58"/>
      <c r="D35" s="48">
        <v>0</v>
      </c>
      <c r="E35" s="48">
        <v>0</v>
      </c>
      <c r="F35" s="48">
        <v>0</v>
      </c>
      <c r="G35" s="48">
        <f>SUM(D35:F35)</f>
        <v>0</v>
      </c>
    </row>
    <row r="36" spans="1:7" x14ac:dyDescent="0.2">
      <c r="A36" t="s">
        <v>98</v>
      </c>
      <c r="B36" s="58"/>
      <c r="C36" s="47">
        <v>5.6881300000000003E-2</v>
      </c>
      <c r="D36" s="48">
        <v>391590.46</v>
      </c>
      <c r="E36" s="48">
        <v>443917.85</v>
      </c>
      <c r="F36" s="48">
        <v>422737.7</v>
      </c>
      <c r="G36" s="48">
        <f>SUM(D36:F36)</f>
        <v>1258246.01</v>
      </c>
    </row>
    <row r="37" spans="1:7" x14ac:dyDescent="0.2">
      <c r="A37" t="s">
        <v>75</v>
      </c>
      <c r="B37" s="58"/>
      <c r="C37" s="47">
        <v>3.5000000000000001E-3</v>
      </c>
      <c r="D37" s="48">
        <v>4060.88</v>
      </c>
      <c r="E37" s="48">
        <v>6207.4</v>
      </c>
      <c r="F37" s="48">
        <v>4180.83</v>
      </c>
      <c r="G37" s="48">
        <f>SUM(D37:F37)</f>
        <v>14449.109999999999</v>
      </c>
    </row>
    <row r="38" spans="1:7" x14ac:dyDescent="0.2">
      <c r="A38" t="s">
        <v>110</v>
      </c>
      <c r="B38" s="58"/>
      <c r="D38" s="59">
        <f>SUM(D34:D37)</f>
        <v>1195651.3399999999</v>
      </c>
      <c r="E38" s="59">
        <f>SUM(E34:E37)</f>
        <v>950125.25</v>
      </c>
      <c r="F38" s="59">
        <f>SUM(F34:F37)</f>
        <v>1426918.53</v>
      </c>
      <c r="G38" s="59">
        <f>SUM(G34:G37)</f>
        <v>3572695.1199999996</v>
      </c>
    </row>
    <row r="39" spans="1:7" x14ac:dyDescent="0.2">
      <c r="A39" t="s">
        <v>111</v>
      </c>
      <c r="B39" s="58"/>
      <c r="D39" s="59">
        <f>+D32+D38</f>
        <v>89708650.180000007</v>
      </c>
      <c r="E39" s="59">
        <f>+E32+E38</f>
        <v>101290927.43000001</v>
      </c>
      <c r="F39" s="59">
        <f>+F32+F38</f>
        <v>96980272.290000007</v>
      </c>
      <c r="G39" s="59">
        <f>+G32+G38</f>
        <v>287979849.89999998</v>
      </c>
    </row>
    <row r="41" spans="1:7" x14ac:dyDescent="0.2">
      <c r="A41" t="s">
        <v>115</v>
      </c>
      <c r="B41" s="58">
        <v>36276</v>
      </c>
      <c r="D41" s="48">
        <v>1000000</v>
      </c>
      <c r="E41" s="48">
        <v>1000000</v>
      </c>
      <c r="F41" s="48">
        <v>1000000</v>
      </c>
      <c r="G41" s="48">
        <f>SUM(D41:F41)</f>
        <v>3000000</v>
      </c>
    </row>
    <row r="42" spans="1:7" x14ac:dyDescent="0.2">
      <c r="A42" t="s">
        <v>109</v>
      </c>
      <c r="B42" s="58"/>
      <c r="G42" s="48">
        <f>SUM(D42:F42)</f>
        <v>0</v>
      </c>
    </row>
    <row r="43" spans="1:7" x14ac:dyDescent="0.2">
      <c r="A43" t="s">
        <v>98</v>
      </c>
      <c r="B43" s="58"/>
      <c r="D43" s="48">
        <v>467674.29</v>
      </c>
      <c r="E43" s="48">
        <v>528055.68999999994</v>
      </c>
      <c r="F43" s="48">
        <v>505583.13</v>
      </c>
      <c r="G43" s="48">
        <f>SUM(D43:F43)</f>
        <v>1501313.1099999999</v>
      </c>
    </row>
    <row r="44" spans="1:7" x14ac:dyDescent="0.2">
      <c r="A44" t="s">
        <v>75</v>
      </c>
      <c r="B44" s="58"/>
      <c r="C44" s="47">
        <v>3.5000000000000001E-3</v>
      </c>
      <c r="D44" s="48">
        <v>3911.42</v>
      </c>
      <c r="E44" s="48">
        <v>6088.63</v>
      </c>
      <c r="F44" s="48">
        <v>4002.47</v>
      </c>
      <c r="G44" s="48">
        <f>SUM(D44:F44)</f>
        <v>14002.519999999999</v>
      </c>
    </row>
    <row r="45" spans="1:7" x14ac:dyDescent="0.2">
      <c r="A45" t="s">
        <v>110</v>
      </c>
      <c r="B45" s="58"/>
      <c r="D45" s="59">
        <f>SUM(D41:D44)</f>
        <v>1471585.71</v>
      </c>
      <c r="E45" s="59">
        <f>SUM(E41:E44)</f>
        <v>1534144.3199999998</v>
      </c>
      <c r="F45" s="59">
        <f>SUM(F41:F44)</f>
        <v>1509585.5999999999</v>
      </c>
      <c r="G45" s="59">
        <f>SUM(G41:G44)</f>
        <v>4515315.629999999</v>
      </c>
    </row>
    <row r="46" spans="1:7" x14ac:dyDescent="0.2">
      <c r="A46" t="s">
        <v>111</v>
      </c>
      <c r="B46" s="58"/>
      <c r="D46" s="59">
        <f>+D39+D45</f>
        <v>91180235.890000001</v>
      </c>
      <c r="E46" s="59">
        <f>+E39+E45</f>
        <v>102825071.75</v>
      </c>
      <c r="F46" s="59">
        <f>+F39+F45</f>
        <v>98489857.890000001</v>
      </c>
      <c r="G46" s="59">
        <f>+G39+G45</f>
        <v>292495165.52999997</v>
      </c>
    </row>
    <row r="48" spans="1:7" x14ac:dyDescent="0.2">
      <c r="A48" t="s">
        <v>120</v>
      </c>
      <c r="B48" s="58">
        <v>36301</v>
      </c>
      <c r="D48" s="48">
        <v>0</v>
      </c>
      <c r="E48" s="48">
        <v>0</v>
      </c>
      <c r="F48" s="48">
        <v>0</v>
      </c>
      <c r="G48" s="48">
        <f>SUM(D48:F48)</f>
        <v>0</v>
      </c>
    </row>
    <row r="49" spans="1:7" x14ac:dyDescent="0.2">
      <c r="A49" t="s">
        <v>109</v>
      </c>
      <c r="B49" s="58"/>
      <c r="D49" s="48">
        <v>0</v>
      </c>
      <c r="E49" s="48">
        <v>0</v>
      </c>
      <c r="F49" s="48">
        <v>0</v>
      </c>
      <c r="G49" s="48">
        <f>SUM(D49:F49)</f>
        <v>0</v>
      </c>
    </row>
    <row r="50" spans="1:7" x14ac:dyDescent="0.2">
      <c r="A50" t="s">
        <v>98</v>
      </c>
      <c r="B50" s="58"/>
      <c r="D50" s="48">
        <v>358547.28</v>
      </c>
      <c r="E50" s="48">
        <v>404338.17</v>
      </c>
      <c r="F50" s="48">
        <v>387290.85</v>
      </c>
      <c r="G50" s="48">
        <f>SUM(D50:F50)</f>
        <v>1150176.2999999998</v>
      </c>
    </row>
    <row r="51" spans="1:7" x14ac:dyDescent="0.2">
      <c r="A51" t="s">
        <v>75</v>
      </c>
      <c r="B51" s="58"/>
      <c r="C51" s="47">
        <v>3.5000000000000001E-3</v>
      </c>
      <c r="D51" s="48">
        <v>3727.47</v>
      </c>
      <c r="E51" s="48">
        <v>5896.87</v>
      </c>
      <c r="F51" s="48">
        <v>3813.77</v>
      </c>
      <c r="G51" s="48">
        <f>SUM(D51:F51)</f>
        <v>13438.11</v>
      </c>
    </row>
    <row r="52" spans="1:7" x14ac:dyDescent="0.2">
      <c r="A52" s="63" t="s">
        <v>121</v>
      </c>
      <c r="B52" s="64"/>
      <c r="C52" s="65"/>
      <c r="D52" s="48">
        <f>(8223.78/3)+(241776.22/3)</f>
        <v>83333.333333333328</v>
      </c>
      <c r="E52" s="48">
        <f>(8223.78/3)+(241776.22/3)</f>
        <v>83333.333333333328</v>
      </c>
      <c r="F52" s="48">
        <f>(8223.78/3)+(241776.22/3)</f>
        <v>83333.333333333328</v>
      </c>
      <c r="G52" s="48">
        <f>SUM(D52:F52)</f>
        <v>250000</v>
      </c>
    </row>
    <row r="53" spans="1:7" x14ac:dyDescent="0.2">
      <c r="A53" t="s">
        <v>110</v>
      </c>
      <c r="B53" s="58"/>
      <c r="D53" s="59">
        <f>SUM(D48:D52)</f>
        <v>445608.08333333331</v>
      </c>
      <c r="E53" s="59">
        <f>SUM(E48:E52)</f>
        <v>493568.37333333329</v>
      </c>
      <c r="F53" s="59">
        <f>SUM(F48:F52)</f>
        <v>474437.95333333331</v>
      </c>
      <c r="G53" s="59">
        <f>SUM(G48:G52)</f>
        <v>1413614.41</v>
      </c>
    </row>
    <row r="54" spans="1:7" x14ac:dyDescent="0.2">
      <c r="A54" t="s">
        <v>111</v>
      </c>
      <c r="B54" s="58"/>
      <c r="D54" s="59">
        <f>+D46+D53</f>
        <v>91625843.973333329</v>
      </c>
      <c r="E54" s="59">
        <f>+E46+E53</f>
        <v>103318640.12333333</v>
      </c>
      <c r="F54" s="59">
        <f>+F46+F53</f>
        <v>98964295.843333334</v>
      </c>
      <c r="G54" s="59">
        <f>+G46+G53</f>
        <v>293908779.94</v>
      </c>
    </row>
    <row r="55" spans="1:7" x14ac:dyDescent="0.2">
      <c r="A55" t="s">
        <v>122</v>
      </c>
      <c r="D55" s="48">
        <v>-91550734.420000002</v>
      </c>
      <c r="E55" s="48">
        <v>-103477083.01000001</v>
      </c>
      <c r="F55" s="48">
        <v>-98880962.510000005</v>
      </c>
      <c r="G55" s="48">
        <f>SUM(D55:F55)</f>
        <v>-293908779.94</v>
      </c>
    </row>
    <row r="56" spans="1:7" x14ac:dyDescent="0.2">
      <c r="A56" s="63"/>
    </row>
    <row r="59" spans="1:7" s="60" customFormat="1" x14ac:dyDescent="0.2">
      <c r="A59" s="60" t="s">
        <v>116</v>
      </c>
      <c r="C59" s="47"/>
      <c r="D59" s="60">
        <v>121000000</v>
      </c>
      <c r="E59" s="60">
        <v>150000000</v>
      </c>
      <c r="F59" s="60">
        <v>129000000</v>
      </c>
      <c r="G59" s="60">
        <f>SUM(D59:F59)</f>
        <v>400000000</v>
      </c>
    </row>
    <row r="61" spans="1:7" ht="13.5" thickBot="1" x14ac:dyDescent="0.25">
      <c r="A61" t="s">
        <v>117</v>
      </c>
      <c r="D61" s="61">
        <f>+D59-D54</f>
        <v>29374156.026666671</v>
      </c>
      <c r="E61" s="61">
        <f>+E59-E54</f>
        <v>46681359.876666665</v>
      </c>
      <c r="F61" s="61">
        <f>+F59-F54</f>
        <v>30035704.156666666</v>
      </c>
      <c r="G61" s="61">
        <f>+G59-G54</f>
        <v>106091220.06</v>
      </c>
    </row>
    <row r="62" spans="1:7" ht="13.5" thickTop="1" x14ac:dyDescent="0.2"/>
  </sheetData>
  <pageMargins left="0.75" right="0.75" top="1" bottom="1" header="0.5" footer="0.5"/>
  <pageSetup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6.5% - Swap</vt:lpstr>
      <vt:lpstr>Brownsville</vt:lpstr>
      <vt:lpstr>Caledonia</vt:lpstr>
      <vt:lpstr>New Albany</vt:lpstr>
      <vt:lpstr>Draw Summary</vt:lpstr>
      <vt:lpstr>Brownsville!Print_Area</vt:lpstr>
      <vt:lpstr>Caledonia!Print_Area</vt:lpstr>
      <vt:lpstr>'Draw Summary'!Print_Area</vt:lpstr>
      <vt:lpstr>'New Albany'!Print_Area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1999-12-21T16:39:15Z</cp:lastPrinted>
  <dcterms:created xsi:type="dcterms:W3CDTF">1999-02-09T14:03:00Z</dcterms:created>
  <dcterms:modified xsi:type="dcterms:W3CDTF">2023-09-13T22:19:26Z</dcterms:modified>
</cp:coreProperties>
</file>