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82C207-5798-4753-BF8A-5B84A6AE2C34}" xr6:coauthVersionLast="47" xr6:coauthVersionMax="47" xr10:uidLastSave="{00000000-0000-0000-0000-000000000000}"/>
  <bookViews>
    <workbookView xWindow="-120" yWindow="-120" windowWidth="38640" windowHeight="15720" tabRatio="884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<sst xmlns="http://schemas.openxmlformats.org/spreadsheetml/2006/main" count="1556" uniqueCount="553">
  <si>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</si>
  <si>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</si>
  <si>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</si>
  <si>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</si>
  <si>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</si>
  <si>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</si>
  <si>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</si>
  <si>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</si>
  <si>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</si>
  <si>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</si>
  <si>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</si>
  <si>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</si>
  <si>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</si>
  <si>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</si>
  <si>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</si>
  <si>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</si>
  <si>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</si>
  <si>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</si>
  <si>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</si>
  <si>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</si>
  <si>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</si>
  <si>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</si>
  <si>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</si>
  <si>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</si>
  <si>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</si>
  <si>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</si>
  <si>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</si>
  <si>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</si>
  <si>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</si>
  <si>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</si>
  <si>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</si>
  <si>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</si>
  <si>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</si>
  <si>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</si>
  <si>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</si>
  <si>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</si>
  <si>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</si>
  <si>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</si>
  <si>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</si>
  <si>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</si>
  <si>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</si>
  <si>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</si>
  <si>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</si>
  <si>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</si>
  <si>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</si>
  <si>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</si>
  <si>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</si>
  <si>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</si>
  <si>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</si>
  <si>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</si>
  <si>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</si>
  <si>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</si>
  <si>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</si>
  <si>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</si>
  <si>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</si>
  <si>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</si>
  <si>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</si>
  <si>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</si>
  <si>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</si>
  <si>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</si>
  <si>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</si>
  <si>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</si>
  <si>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</si>
  <si>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</si>
  <si>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</si>
  <si>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</si>
  <si>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</si>
  <si>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</si>
  <si>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</si>
  <si>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</si>
  <si>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</si>
  <si>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</si>
  <si>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</si>
  <si>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</si>
  <si>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</si>
  <si>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</si>
  <si>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</si>
  <si>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</si>
  <si>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</si>
  <si>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</si>
  <si>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</si>
  <si>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</si>
  <si>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</si>
  <si>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</si>
  <si>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</si>
  <si>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</si>
  <si>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</si>
  <si>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</si>
  <si>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</si>
  <si>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</si>
  <si>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</si>
  <si>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</si>
  <si>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</si>
  <si>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</si>
  <si>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</si>
  <si>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</si>
  <si>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</si>
  <si>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</si>
  <si>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</si>
  <si>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</si>
  <si>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</si>
  <si>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</si>
  <si>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</si>
  <si>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</si>
  <si>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</si>
  <si>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</si>
  <si>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</si>
  <si>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</si>
  <si>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</si>
  <si>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</si>
  <si>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</si>
  <si>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</si>
  <si>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</si>
  <si>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</si>
  <si>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</si>
  <si>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</si>
  <si>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</si>
  <si>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</si>
  <si>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</si>
  <si>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</si>
  <si>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</si>
  <si>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</si>
  <si>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</si>
  <si>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</si>
  <si>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</si>
  <si>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</si>
  <si>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</si>
  <si>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</si>
  <si>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</si>
  <si>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</si>
  <si>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</si>
  <si>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</si>
  <si>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</si>
  <si>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</si>
  <si>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</si>
  <si>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</si>
  <si>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</si>
  <si>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</si>
  <si>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</si>
  <si>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</si>
  <si>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</si>
  <si>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</si>
  <si>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</si>
  <si>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</si>
  <si>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</si>
  <si>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</si>
  <si>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</si>
  <si>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</si>
  <si>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</si>
  <si>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</si>
  <si>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</si>
  <si>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</si>
  <si>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</si>
  <si>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</si>
  <si>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</si>
  <si>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</si>
  <si>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</si>
  <si>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</si>
  <si>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</si>
  <si>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</si>
  <si>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</si>
  <si>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</si>
  <si>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</si>
  <si>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</si>
  <si>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</si>
  <si>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</si>
  <si>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</si>
  <si>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</si>
  <si>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</si>
  <si>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</si>
  <si>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</si>
  <si>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</si>
  <si>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</si>
  <si>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</si>
  <si>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</si>
  <si>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</si>
  <si>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</si>
  <si>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</si>
  <si>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</si>
  <si>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</si>
  <si>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</si>
  <si>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</si>
  <si>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</si>
  <si>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</si>
  <si>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</si>
  <si>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</si>
  <si>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</si>
  <si>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</si>
  <si>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</si>
  <si>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</si>
  <si>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</si>
  <si>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</si>
  <si>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</si>
  <si>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</si>
  <si>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</si>
  <si>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</si>
  <si>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</si>
  <si>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</si>
  <si>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</si>
  <si>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</si>
  <si>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</si>
  <si>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</si>
  <si>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</si>
  <si>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</si>
  <si>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</si>
  <si>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</si>
  <si>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</si>
  <si>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</si>
  <si>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</si>
  <si>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</si>
  <si>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</si>
  <si>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</si>
  <si>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</si>
  <si>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</si>
  <si>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</si>
  <si>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</si>
  <si>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</si>
  <si>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</si>
  <si>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</si>
  <si>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</si>
  <si>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</si>
  <si>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</si>
  <si>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</si>
  <si>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</si>
  <si>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</si>
  <si>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</si>
  <si>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</si>
  <si>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</si>
  <si>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</si>
  <si>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</si>
  <si>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</si>
  <si>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</si>
  <si>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</si>
  <si>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</si>
  <si>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</si>
  <si>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</si>
  <si>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</si>
  <si>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</si>
  <si>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</si>
  <si>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</si>
  <si>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</si>
  <si>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</si>
  <si>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</si>
  <si>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</si>
  <si>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</si>
  <si>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</si>
  <si>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</si>
  <si>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</si>
  <si>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</si>
  <si>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</si>
  <si>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</si>
  <si>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</si>
  <si>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</si>
  <si>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</si>
  <si>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</si>
  <si>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</si>
  <si>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</si>
  <si>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</si>
  <si>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</si>
  <si>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</si>
  <si>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</si>
  <si>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</si>
  <si>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</si>
  <si>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</si>
  <si>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</si>
  <si>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</si>
  <si>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</si>
  <si>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</si>
  <si>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</si>
  <si>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</si>
  <si>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</si>
  <si>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</si>
  <si>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</si>
  <si>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</si>
  <si>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</si>
  <si>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</si>
  <si>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</si>
  <si>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</si>
  <si>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</si>
  <si>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</si>
  <si>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</si>
  <si>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</si>
  <si>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</si>
  <si>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</si>
  <si>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</si>
  <si>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</si>
  <si>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</si>
  <si>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</si>
  <si>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</si>
  <si>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</si>
  <si>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</si>
  <si>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</si>
  <si>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</si>
  <si>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</si>
  <si>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</si>
  <si>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</si>
  <si>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</si>
  <si>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</si>
  <si>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</si>
  <si>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</si>
  <si>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</si>
  <si>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</si>
  <si>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</si>
  <si>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</si>
  <si>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</si>
  <si>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</si>
  <si>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</si>
  <si>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</si>
  <si>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</si>
  <si>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</si>
  <si>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</si>
  <si>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</si>
  <si>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</si>
  <si>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</si>
  <si>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</si>
  <si>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</si>
  <si>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</si>
  <si>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</si>
  <si>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</si>
  <si>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</si>
  <si>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</si>
  <si>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</si>
  <si>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</si>
  <si>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</si>
  <si>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</si>
  <si>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</si>
  <si>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</si>
  <si>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</si>
  <si>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</si>
  <si>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</si>
  <si>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</si>
  <si>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</si>
  <si>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</si>
  <si>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</si>
  <si>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</si>
  <si>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</si>
  <si>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</si>
  <si>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</si>
  <si>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</si>
  <si>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</si>
  <si>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</si>
  <si>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</si>
  <si>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</si>
  <si>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</si>
  <si>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</si>
  <si>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</si>
  <si>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</si>
  <si>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</si>
  <si>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</si>
  <si>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</si>
  <si>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</si>
  <si>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</si>
  <si>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</si>
  <si>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</si>
  <si>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</si>
  <si>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</si>
  <si>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</si>
  <si>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</si>
  <si>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</si>
  <si>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</si>
  <si>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</si>
  <si>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</si>
  <si>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</si>
  <si>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</si>
  <si>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</si>
  <si>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</si>
  <si>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</si>
  <si>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</si>
  <si>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</si>
  <si>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</si>
  <si>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</si>
  <si>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</si>
  <si>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</si>
  <si>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</si>
  <si>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</si>
  <si>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</si>
  <si>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</si>
  <si>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</si>
  <si>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</si>
  <si>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</si>
  <si>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</si>
  <si>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</si>
  <si>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</si>
  <si>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</si>
  <si>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</si>
  <si>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</si>
  <si>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</si>
  <si>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</si>
  <si>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</si>
  <si>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</si>
  <si>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</si>
  <si>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</si>
  <si>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</si>
  <si>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</si>
  <si>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</si>
  <si>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</si>
  <si>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</si>
  <si>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</si>
  <si>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</si>
  <si>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</si>
  <si>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</si>
  <si>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</si>
  <si>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</si>
  <si>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</si>
  <si>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</si>
  <si>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</si>
  <si>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</si>
  <si>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</si>
  <si>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</si>
  <si>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</si>
  <si>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</si>
  <si>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</si>
  <si>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</si>
  <si>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</si>
  <si>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</si>
  <si>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</si>
  <si>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</si>
  <si>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</si>
  <si>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</si>
  <si>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</si>
  <si>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</si>
  <si>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</si>
  <si>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</si>
  <si>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</si>
  <si>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</si>
  <si>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</si>
  <si>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</si>
  <si>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</si>
  <si>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</si>
  <si>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</si>
  <si>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</si>
  <si>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</si>
  <si>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</si>
  <si>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</si>
  <si>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</si>
  <si>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</si>
  <si>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</si>
  <si>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</si>
  <si>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</si>
  <si>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</si>
  <si>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</si>
  <si>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</si>
  <si>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</si>
  <si>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</si>
  <si>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</si>
  <si>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</si>
  <si>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</si>
  <si>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</si>
  <si>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</si>
  <si>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</si>
  <si>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</si>
  <si>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</si>
  <si>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</si>
  <si>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</si>
  <si>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</si>
  <si>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</si>
  <si>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</si>
  <si>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</si>
  <si>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</si>
  <si>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</si>
  <si>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</si>
  <si>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</si>
  <si>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</si>
  <si>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</si>
  <si>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</si>
  <si>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</si>
  <si>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</si>
  <si>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</si>
  <si>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</si>
  <si>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</si>
  <si>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</si>
  <si>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</si>
  <si>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</si>
  <si>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</si>
  <si>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</si>
  <si>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</si>
  <si>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</si>
  <si>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</si>
  <si>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</si>
  <si>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</si>
  <si>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</si>
  <si>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</si>
  <si>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</si>
  <si>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</si>
  <si>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</si>
  <si>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</si>
  <si>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</si>
  <si>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</si>
  <si>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</si>
  <si>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</si>
  <si>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</si>
  <si>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</si>
  <si>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</si>
  <si>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</si>
  <si>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</si>
  <si>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</si>
  <si>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</si>
  <si>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</si>
  <si>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</si>
  <si>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</si>
  <si>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</si>
  <si>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</si>
  <si>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</si>
  <si>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</si>
  <si>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</si>
  <si>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</si>
  <si>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</si>
  <si>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</si>
  <si>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</si>
  <si>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</si>
  <si>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</si>
  <si>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</si>
  <si>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</si>
  <si>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</si>
  <si>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</si>
  <si>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</si>
  <si>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</si>
  <si>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</si>
  <si>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</si>
  <si>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</si>
  <si>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</si>
  <si>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</si>
  <si>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</si>
  <si>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</si>
  <si>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</si>
  <si>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</si>
  <si>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</si>
  <si>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</si>
  <si>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</si>
  <si>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</si>
  <si>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</si>
  <si>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</si>
  <si>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</si>
  <si>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</si>
  <si>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</si>
  <si>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</si>
  <si>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</si>
  <si>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</si>
  <si>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</si>
  <si>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</si>
  <si>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</si>
  <si>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</si>
  <si>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</si>
  <si>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</si>
  <si>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</si>
  <si>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</si>
  <si>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</si>
  <si>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</si>
  <si>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</si>
  <si>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</si>
  <si>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</si>
  <si>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57</t>
  </si>
  <si>
    <t>as of 12/17/99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</si>
</sst>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tabSelected="1" view="pageBreakPreview" topLeftCell="A73" zoomScaleNormal="90" zoomScaleSheetLayoutView="100" workbookViewId="0">
      <selection activeCell="C93" sqref="C93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36515.445471180552</v>
      </c>
    </row>
    <row r="3" spans="1:31" ht="15.75" x14ac:dyDescent="0.25">
      <c r="A3" s="48" t="s">
        <v>417</v>
      </c>
      <c r="J3" s="41" t="s">
        <v>342</v>
      </c>
      <c r="O3" s="379" t="s">
        <v>552</v>
      </c>
    </row>
    <row r="4" spans="1:31" ht="16.5" thickBot="1" x14ac:dyDescent="0.3">
      <c r="A4" s="382" t="s">
        <v>551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12/17/99</v>
      </c>
      <c r="G7" s="198" t="str">
        <f>+O3</f>
        <v>as of 12/17/99</v>
      </c>
      <c r="H7" s="61"/>
      <c r="I7" s="104" t="str">
        <f>+O3</f>
        <v>as of 12/17/99</v>
      </c>
      <c r="J7" s="61"/>
      <c r="K7" s="199" t="str">
        <f>+O3</f>
        <v>as of 12/17/99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125266.80153333333</v>
      </c>
      <c r="H9" s="61"/>
      <c r="I9" s="56">
        <f>+Brownsville!AW197/1000</f>
        <v>2667.8801619999999</v>
      </c>
      <c r="J9" s="61"/>
      <c r="K9" s="203">
        <f>+I9+G9</f>
        <v>127934.68169533333</v>
      </c>
      <c r="M9" s="56">
        <f>+E9-K9</f>
        <v>-4192.6962233333325</v>
      </c>
      <c r="O9" s="58">
        <f>+G9/K9</f>
        <v>0.97914654473168306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151635.2909633333</v>
      </c>
      <c r="H11" s="61"/>
      <c r="I11" s="56">
        <f>+Caledonia!AW198/1000</f>
        <v>2960.7169959999997</v>
      </c>
      <c r="J11" s="61"/>
      <c r="K11" s="203">
        <f>+I11+G11</f>
        <v>154596.00795933331</v>
      </c>
      <c r="M11" s="56">
        <f>+E11-K11</f>
        <v>-5698.0153433333035</v>
      </c>
      <c r="O11" s="58">
        <f>+G11/K11</f>
        <v>0.9808486840308398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144071.4588433333</v>
      </c>
      <c r="H13" s="61"/>
      <c r="I13" s="56">
        <f>+NewAlbany!AW220/1000</f>
        <v>4192.2942839999951</v>
      </c>
      <c r="J13" s="61"/>
      <c r="K13" s="203">
        <f>+I13+G13</f>
        <v>148263.7531273333</v>
      </c>
      <c r="M13" s="56">
        <f>+E13-K13</f>
        <v>-19877.452986178861</v>
      </c>
      <c r="O13" s="58">
        <f>+G13/K13</f>
        <v>0.97172407823509277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">
      <c r="A16" s="381" t="s">
        <v>549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416383.84553928662</v>
      </c>
      <c r="H17" s="66"/>
      <c r="I17" s="69">
        <f>SUM(I9:I13)</f>
        <v>9820.8914419999946</v>
      </c>
      <c r="J17" s="61"/>
      <c r="K17" s="209">
        <f>SUM(K9:K13)+K15</f>
        <v>426204.73698128661</v>
      </c>
      <c r="L17" s="61"/>
      <c r="M17" s="69">
        <f>SUM(M8:M13)</f>
        <v>-29768.164552845497</v>
      </c>
      <c r="N17" s="61"/>
      <c r="O17" s="185">
        <f>(+G17-G15)/(K17-K15)</f>
        <v>0.97720283627946014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338.25772776292587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+Brownsville!BA33/1000</f>
        <v>-2073.1009400000125</v>
      </c>
      <c r="E39" t="s">
        <v>518</v>
      </c>
    </row>
    <row r="40" spans="1:15" x14ac:dyDescent="0.2">
      <c r="A40" s="71"/>
      <c r="C40" s="102">
        <f>+Brownsville!BA41/1000</f>
        <v>-147.67172000000002</v>
      </c>
      <c r="E40" t="s">
        <v>415</v>
      </c>
    </row>
    <row r="41" spans="1:15" x14ac:dyDescent="0.2">
      <c r="A41" s="191"/>
      <c r="C41" s="102">
        <f>+Brownsville!BA94/1000+Brownsville!BA67/1000+Brownsville!BA102/1000+Brownsville!BA104/1000</f>
        <v>-764.04170000000136</v>
      </c>
      <c r="E41" t="s">
        <v>532</v>
      </c>
    </row>
    <row r="42" spans="1:15" x14ac:dyDescent="0.2">
      <c r="A42" s="191"/>
      <c r="C42" s="102">
        <f>(Brownsville!BA111+Brownsville!BA112)/1000</f>
        <v>-13.750400000000024</v>
      </c>
      <c r="E42" t="s">
        <v>494</v>
      </c>
    </row>
    <row r="43" spans="1:15" x14ac:dyDescent="0.2">
      <c r="A43" s="191"/>
      <c r="C43" s="102"/>
      <c r="E43" s="88" t="s">
        <v>495</v>
      </c>
    </row>
    <row r="44" spans="1:15" x14ac:dyDescent="0.2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">
      <c r="A45" s="191"/>
      <c r="C45" s="86">
        <f>+Brownsville!BA138/1000</f>
        <v>-3.1374100000000036</v>
      </c>
      <c r="E45" t="s">
        <v>490</v>
      </c>
    </row>
    <row r="46" spans="1:15" x14ac:dyDescent="0.2">
      <c r="A46" s="191"/>
      <c r="C46" s="86">
        <f>+Brownsville!BA148/1000</f>
        <v>-1.7250000000000001</v>
      </c>
      <c r="E46" t="s">
        <v>502</v>
      </c>
    </row>
    <row r="47" spans="1:15" x14ac:dyDescent="0.2">
      <c r="A47" s="191"/>
      <c r="C47" s="86">
        <f>+Brownsville!BA159/1000</f>
        <v>-103.76972333333339</v>
      </c>
      <c r="E47" t="s">
        <v>411</v>
      </c>
    </row>
    <row r="48" spans="1:15" x14ac:dyDescent="0.2">
      <c r="A48" s="191"/>
      <c r="C48" s="86">
        <f>+Brownsville!BA194/1000</f>
        <v>771.94889000000001</v>
      </c>
      <c r="E48" t="s">
        <v>522</v>
      </c>
    </row>
    <row r="49" spans="1:5" x14ac:dyDescent="0.2">
      <c r="A49" s="191"/>
      <c r="C49" s="86">
        <f>+Brownsville!BA143/1000</f>
        <v>-4.3860000000000001</v>
      </c>
      <c r="E49" t="s">
        <v>498</v>
      </c>
    </row>
    <row r="50" spans="1:5" x14ac:dyDescent="0.2">
      <c r="A50" s="191"/>
      <c r="C50" s="86">
        <f>+Brownsville!BA149/1000</f>
        <v>-19.325300000000002</v>
      </c>
      <c r="E50" t="s">
        <v>508</v>
      </c>
    </row>
    <row r="51" spans="1:5" x14ac:dyDescent="0.2">
      <c r="A51" s="191"/>
      <c r="C51" s="86">
        <f>+Brownsville!BA103/1000</f>
        <v>-284</v>
      </c>
      <c r="E51" t="s">
        <v>546</v>
      </c>
    </row>
    <row r="52" spans="1:5" x14ac:dyDescent="0.2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-4192.6980333333477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">
      <c r="A57" s="71"/>
      <c r="C57" s="86">
        <f>Caledonia!BA44/1000</f>
        <v>-165.85420999999999</v>
      </c>
      <c r="E57" t="s">
        <v>415</v>
      </c>
    </row>
    <row r="58" spans="1:5" x14ac:dyDescent="0.2">
      <c r="A58" s="192"/>
      <c r="C58" s="102">
        <f>+Caledonia!BA98/1000+Caledonia!BA70/1000+Caledonia!BA106/1000+Caledonia!BA108/1000</f>
        <v>-3655.9881499999988</v>
      </c>
      <c r="E58" t="s">
        <v>531</v>
      </c>
    </row>
    <row r="59" spans="1:5" x14ac:dyDescent="0.2">
      <c r="A59" s="191"/>
      <c r="C59" s="86">
        <f>(Caledonia!BA121+Caledonia!BA122)/1000</f>
        <v>115.95956000000005</v>
      </c>
      <c r="E59" t="s">
        <v>494</v>
      </c>
    </row>
    <row r="60" spans="1:5" x14ac:dyDescent="0.2">
      <c r="A60" s="191"/>
      <c r="C60" s="86"/>
      <c r="E60" s="88" t="s">
        <v>495</v>
      </c>
    </row>
    <row r="61" spans="1:5" x14ac:dyDescent="0.2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">
      <c r="A62" s="191"/>
      <c r="C62" s="86">
        <f>+Caledonia!BA148/1000</f>
        <v>-125.11226000000019</v>
      </c>
      <c r="E62" t="s">
        <v>509</v>
      </c>
    </row>
    <row r="63" spans="1:5" x14ac:dyDescent="0.2">
      <c r="A63" s="191"/>
      <c r="C63" s="86">
        <f>+Caledonia!BA157/1000</f>
        <v>117.884</v>
      </c>
      <c r="E63" t="s">
        <v>502</v>
      </c>
    </row>
    <row r="64" spans="1:5" x14ac:dyDescent="0.2">
      <c r="A64" s="191"/>
      <c r="C64" s="86">
        <f>+Caledonia!BA150/1000</f>
        <v>805.31700000000001</v>
      </c>
      <c r="E64" t="s">
        <v>521</v>
      </c>
    </row>
    <row r="65" spans="1:11" x14ac:dyDescent="0.2">
      <c r="A65" s="191"/>
      <c r="C65" s="86">
        <f>+Caledonia!BA194/1000</f>
        <v>863.96392999999989</v>
      </c>
      <c r="E65" t="s">
        <v>522</v>
      </c>
    </row>
    <row r="66" spans="1:11" x14ac:dyDescent="0.2">
      <c r="A66" s="191"/>
      <c r="C66" s="86">
        <f>+Caledonia!BA112/1000</f>
        <v>-283</v>
      </c>
      <c r="E66" t="str">
        <f>+E51</f>
        <v>NEPCO Interest Charges</v>
      </c>
    </row>
    <row r="67" spans="1:11" x14ac:dyDescent="0.2">
      <c r="A67" s="191"/>
      <c r="C67" s="102">
        <f>Caledonia!BA169/1000</f>
        <v>-285.01971333333324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</f>
        <v>-5697.5355333333273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NewAlbany!BA10/1000</f>
        <v>100.67737</v>
      </c>
      <c r="E71" t="s">
        <v>464</v>
      </c>
    </row>
    <row r="72" spans="1:11" x14ac:dyDescent="0.2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+NewAlbany!BA33/1000</f>
        <v>-17.178959999999964</v>
      </c>
      <c r="E75" t="s">
        <v>503</v>
      </c>
    </row>
    <row r="76" spans="1:11" x14ac:dyDescent="0.2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NewAlbany!BA27/1000</f>
        <v>-2526.1565300000002</v>
      </c>
      <c r="E78" t="s">
        <v>431</v>
      </c>
    </row>
    <row r="79" spans="1:11" x14ac:dyDescent="0.2">
      <c r="A79" s="71"/>
      <c r="C79" s="102">
        <f>NewAlbany!BA51/1000</f>
        <v>-557.84799999999996</v>
      </c>
      <c r="E79" t="s">
        <v>400</v>
      </c>
    </row>
    <row r="80" spans="1:11" x14ac:dyDescent="0.2">
      <c r="A80" s="72"/>
      <c r="C80" s="86">
        <f>(NewAlbany!BA145+NewAlbany!BA146)/1000</f>
        <v>-93.608589999999964</v>
      </c>
      <c r="E80" t="s">
        <v>494</v>
      </c>
    </row>
    <row r="81" spans="1:17" x14ac:dyDescent="0.2">
      <c r="A81" s="72"/>
      <c r="C81" s="86"/>
      <c r="E81" s="88" t="s">
        <v>495</v>
      </c>
    </row>
    <row r="82" spans="1:17" x14ac:dyDescent="0.2">
      <c r="A82" s="72"/>
      <c r="C82" s="86">
        <f>+NewAlbany!BA141/1000-NewAlbany!BA137/1000</f>
        <v>-2165.1101699999999</v>
      </c>
      <c r="E82" t="s">
        <v>530</v>
      </c>
    </row>
    <row r="83" spans="1:17" x14ac:dyDescent="0.2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">
      <c r="A84" s="191"/>
      <c r="C84" s="102">
        <f>NewAlbany!BA189/1000</f>
        <v>-153.76970333333327</v>
      </c>
      <c r="E84" t="s">
        <v>364</v>
      </c>
    </row>
    <row r="85" spans="1:17" x14ac:dyDescent="0.2">
      <c r="A85" s="191"/>
      <c r="C85" s="102">
        <f>+NewAlbany!BA175/1000</f>
        <v>64.384</v>
      </c>
      <c r="E85" t="s">
        <v>502</v>
      </c>
    </row>
    <row r="86" spans="1:17" x14ac:dyDescent="0.2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+NewAlbany!BA216/1000</f>
        <v>624.98426000000006</v>
      </c>
      <c r="E87" t="s">
        <v>522</v>
      </c>
    </row>
    <row r="88" spans="1:17" x14ac:dyDescent="0.2">
      <c r="A88" s="191"/>
      <c r="C88" s="102">
        <f>+NewAlbany!BA137/1000</f>
        <v>-260</v>
      </c>
      <c r="E88" t="str">
        <f>+E66</f>
        <v>NEPCO Interest Charges</v>
      </c>
    </row>
    <row r="89" spans="1:17" x14ac:dyDescent="0.2">
      <c r="A89" s="191"/>
      <c r="C89" s="102">
        <f>+NewAlbany!BA166/1000</f>
        <v>-68.973239999999947</v>
      </c>
      <c r="E89" t="s">
        <v>490</v>
      </c>
    </row>
    <row r="90" spans="1:17" x14ac:dyDescent="0.2">
      <c r="A90" s="71"/>
      <c r="C90" s="190">
        <f>SUM(C71:C89)+2</f>
        <v>-19876.504543333336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+C90+C69+C54-1</f>
        <v>-29767.738110000013</v>
      </c>
    </row>
    <row r="93" spans="1:17" ht="13.5" thickTop="1" x14ac:dyDescent="0.2"/>
    <row r="95" spans="1:17" x14ac:dyDescent="0.2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O:\Fin_Ops\Engysvc\PowerPlants\TVA Plants\TVA Weekly Summary\[TVA Wkly Anal - 122199.xls]Summary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view="pageBreakPreview" zoomScale="75" zoomScaleNormal="75" workbookViewId="0">
      <pane xSplit="9" ySplit="6" topLeftCell="AR170" activePane="bottomRight" state="frozen"/>
      <selection activeCell="A16" sqref="A16"/>
      <selection pane="topRight" activeCell="A16" sqref="A16"/>
      <selection pane="bottomLeft" activeCell="A16" sqref="A16"/>
      <selection pane="bottomRight" activeCell="AW208" sqref="AW208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customWidth="1"/>
    <col min="37" max="37" width="18.5703125" style="131" customWidth="1"/>
    <col min="38" max="38" width="1.28515625" style="131" customWidth="1"/>
    <col min="39" max="39" width="20.140625" style="131" customWidth="1"/>
    <col min="40" max="40" width="1.42578125" style="131" customWidth="1"/>
    <col min="41" max="41" width="20.140625" style="131" customWidth="1"/>
    <col min="42" max="42" width="1.7109375" style="131" customWidth="1"/>
    <col min="43" max="43" width="20.140625" style="131" customWidth="1"/>
    <col min="44" max="44" width="1.28515625" style="131" customWidth="1"/>
    <col min="45" max="45" width="19.140625" style="8" customWidth="1"/>
    <col min="46" max="46" width="1" style="6" customWidth="1"/>
    <col min="47" max="47" width="23.85546875" style="131" customWidth="1"/>
    <col min="48" max="48" width="0.85546875" style="6" customWidth="1"/>
    <col min="49" max="49" width="24" style="8" customWidth="1"/>
    <col min="50" max="50" width="2.5703125" style="6" customWidth="1"/>
    <col min="51" max="51" width="21.5703125" style="8" customWidth="1"/>
    <col min="52" max="52" width="2.5703125" style="6" customWidth="1"/>
    <col min="53" max="53" width="18.7109375" style="8" customWidth="1"/>
    <col min="54" max="54" width="0.85546875" style="6" customWidth="1"/>
    <col min="55" max="55" width="64.85546875" style="6" customWidth="1"/>
    <col min="56" max="16384" width="9.140625" style="6"/>
  </cols>
  <sheetData>
    <row r="1" spans="1:55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36515.445471064813</v>
      </c>
      <c r="AX3" s="278"/>
      <c r="AY3" s="283"/>
      <c r="AZ3" s="278"/>
      <c r="BA3" s="283" t="str">
        <f>Summary!A4</f>
        <v>Revision # 57</v>
      </c>
    </row>
    <row r="4" spans="1:55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12/17/99</v>
      </c>
      <c r="V7" s="295"/>
      <c r="W7" s="296" t="str">
        <f>+Summary!$O$3</f>
        <v>as of 12/17/99</v>
      </c>
      <c r="X7" s="298"/>
      <c r="Y7" s="296" t="str">
        <f>+Summary!$O$3</f>
        <v>as of 12/17/99</v>
      </c>
      <c r="Z7" s="298"/>
      <c r="AA7" s="296" t="str">
        <f>+Summary!$O$3</f>
        <v>as of 12/17/99</v>
      </c>
      <c r="AB7" s="298"/>
      <c r="AC7" s="296" t="str">
        <f>+Summary!$O$3</f>
        <v>as of 12/17/99</v>
      </c>
      <c r="AD7" s="298"/>
      <c r="AE7" s="296" t="str">
        <f>+Summary!$O$3</f>
        <v>as of 12/17/99</v>
      </c>
      <c r="AF7" s="296"/>
      <c r="AG7" s="296" t="str">
        <f>+Summary!$O$3</f>
        <v>as of 12/17/99</v>
      </c>
      <c r="AH7" s="296"/>
      <c r="AI7" s="296" t="str">
        <f>+Summary!$O$3</f>
        <v>as of 12/17/99</v>
      </c>
      <c r="AJ7" s="296"/>
      <c r="AK7" s="296" t="str">
        <f>+Summary!$O$3</f>
        <v>as of 12/17/99</v>
      </c>
      <c r="AL7" s="296"/>
      <c r="AM7" s="296" t="str">
        <f>+Summary!$O$3</f>
        <v>as of 12/17/99</v>
      </c>
      <c r="AN7" s="296"/>
      <c r="AO7" s="296" t="str">
        <f>+Summary!$O$3</f>
        <v>as of 12/17/99</v>
      </c>
      <c r="AP7" s="296"/>
      <c r="AQ7" s="296" t="str">
        <f>+Summary!$O$3</f>
        <v>as of 12/17/99</v>
      </c>
      <c r="AR7" s="296"/>
      <c r="AS7" s="299" t="str">
        <f>+Summary!$O$3</f>
        <v>as of 12/17/99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5">
        <f t="shared" si="0"/>
        <v>0</v>
      </c>
      <c r="AT16" s="294"/>
      <c r="AU16" s="298">
        <v>1500000</v>
      </c>
      <c r="AV16" s="294"/>
      <c r="AW16" s="295">
        <f t="shared" si="1"/>
        <v>1500000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0</v>
      </c>
      <c r="AP18" s="296"/>
      <c r="AQ18" s="296">
        <f>SUM(AQ9:AQ17)</f>
        <v>0</v>
      </c>
      <c r="AR18" s="296"/>
      <c r="AS18" s="299">
        <f>SUM(AS9:AS17)</f>
        <v>71114405.800000012</v>
      </c>
      <c r="AT18" s="294"/>
      <c r="AU18" s="296">
        <f>SUM(AU9:AU17)</f>
        <v>1560684</v>
      </c>
      <c r="AV18" s="294"/>
      <c r="AW18" s="299">
        <f>SUM(AW9:AW17)</f>
        <v>1500000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</f>
        <v>-0.5</v>
      </c>
      <c r="AX21" s="294"/>
      <c r="AY21" s="295">
        <f t="shared" si="4"/>
        <v>165430</v>
      </c>
      <c r="AZ21" s="294"/>
      <c r="BA21" s="305">
        <f t="shared" si="6"/>
        <v>-2950</v>
      </c>
    </row>
    <row r="22" spans="1:55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-0.9599999999627471</v>
      </c>
      <c r="AX31" s="294"/>
      <c r="AY31" s="299">
        <f>SUM(AY20:AY30)</f>
        <v>8885247.1400000006</v>
      </c>
      <c r="AZ31" s="294"/>
      <c r="BA31" s="316">
        <f>+O31-AY31</f>
        <v>-125947.1400000006</v>
      </c>
    </row>
    <row r="32" spans="1:55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0</v>
      </c>
      <c r="AP33" s="314"/>
      <c r="AQ33" s="320">
        <f>AQ31+AQ18</f>
        <v>0</v>
      </c>
      <c r="AR33" s="314"/>
      <c r="AS33" s="318">
        <f>AS31+AS18</f>
        <v>79999653.900000006</v>
      </c>
      <c r="AT33" s="294"/>
      <c r="AU33" s="320">
        <f>AU31+AU18</f>
        <v>1560684</v>
      </c>
      <c r="AV33" s="294"/>
      <c r="AW33" s="318">
        <f>+AW31+AW18</f>
        <v>1499999.04</v>
      </c>
      <c r="AX33" s="294"/>
      <c r="AY33" s="318">
        <f>+AY31+AY18</f>
        <v>81499652.940000013</v>
      </c>
      <c r="AZ33" s="294"/>
      <c r="BA33" s="321">
        <f>+O33-AY33</f>
        <v>-2073100.9400000125</v>
      </c>
    </row>
    <row r="34" spans="1:55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</f>
        <v>1.2600000000128375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/>
      <c r="AR97" s="298"/>
      <c r="AS97" s="295">
        <f>SUM(P97:AR97)</f>
        <v>341146.69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IF(+O97-AS97+AU97&gt;0,O97-AS97+AU97,0)+518000</f>
        <v>518000</v>
      </c>
      <c r="AX97" s="294"/>
      <c r="AY97" s="295">
        <f t="shared" ref="AY97:AY106" si="19">+AW97+AS97</f>
        <v>859146.69</v>
      </c>
      <c r="AZ97" s="294"/>
      <c r="BA97" s="295">
        <f>+O97-AY97</f>
        <v>-298051.68999999994</v>
      </c>
    </row>
    <row r="98" spans="1:54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0</v>
      </c>
      <c r="AR102" s="341"/>
      <c r="AS102" s="342">
        <f>SUM(AS97:AS101)</f>
        <v>9037830.6899999995</v>
      </c>
      <c r="AT102" s="294"/>
      <c r="AU102" s="340">
        <f>SUM(AU97:AU101)</f>
        <v>-219274</v>
      </c>
      <c r="AV102" s="294"/>
      <c r="AW102" s="342">
        <f>SUM(AW97:AW101)</f>
        <v>518000</v>
      </c>
      <c r="AX102" s="294"/>
      <c r="AY102" s="327">
        <f>SUM(AY97:AY101)</f>
        <v>9555830.6899999995</v>
      </c>
      <c r="AZ102" s="294"/>
      <c r="BA102" s="340">
        <f>SUM(BA97:BA101)</f>
        <v>-744935.69</v>
      </c>
    </row>
    <row r="103" spans="1:54" x14ac:dyDescent="0.2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9">
        <v>0</v>
      </c>
      <c r="AT103" s="294"/>
      <c r="AU103" s="355">
        <v>284000</v>
      </c>
      <c r="AV103" s="294"/>
      <c r="AW103" s="355">
        <v>284000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/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</f>
        <v>0</v>
      </c>
      <c r="AR106" s="296"/>
      <c r="AS106" s="299">
        <f>AS104+AS102+AS94+AS67</f>
        <v>32142501.539999999</v>
      </c>
      <c r="AT106" s="294"/>
      <c r="AU106" s="296">
        <f>AU104+AU102+AU94+AU67</f>
        <v>-1255568</v>
      </c>
      <c r="AV106" s="294"/>
      <c r="AW106" s="299">
        <f>AW104+AW102+AW94+AW67+AW103</f>
        <v>802002.15999999992</v>
      </c>
      <c r="AX106" s="294"/>
      <c r="AY106" s="299">
        <f t="shared" si="19"/>
        <v>32944503.699999999</v>
      </c>
      <c r="AZ106" s="294"/>
      <c r="BA106" s="296">
        <f>+O106-AY106</f>
        <v>-1048041.6999999993</v>
      </c>
    </row>
    <row r="107" spans="1:54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329838.57</v>
      </c>
      <c r="AP109" s="348"/>
      <c r="AQ109" s="348">
        <f>AQ106+AQ41+AQ33</f>
        <v>7051.9</v>
      </c>
      <c r="AR109" s="348"/>
      <c r="AS109" s="347">
        <f>AS106+AS41+AS33</f>
        <v>112875358.78</v>
      </c>
      <c r="AT109" s="347"/>
      <c r="AU109" s="348">
        <f>AU106+AU41+AU33</f>
        <v>437937</v>
      </c>
      <c r="AV109" s="347"/>
      <c r="AW109" s="347">
        <f>AW106+AW41</f>
        <v>803521.54</v>
      </c>
      <c r="AX109" s="346"/>
      <c r="AY109" s="347">
        <f t="shared" ref="AY109:AY132" si="20">+AW109+AS109</f>
        <v>113678880.32000001</v>
      </c>
      <c r="AZ109" s="346"/>
      <c r="BA109" s="348">
        <f>+O109-AY109</f>
        <v>-1768815.3200000077</v>
      </c>
      <c r="BB109" s="23"/>
    </row>
    <row r="110" spans="1:54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464218.35999999993</v>
      </c>
      <c r="AP152" s="313"/>
      <c r="AQ152" s="329">
        <f>SUM(AQ111:AQ150)+AQ109-AQ139-AQ130-AQ120-AQ113</f>
        <v>22647.13</v>
      </c>
      <c r="AR152" s="314"/>
      <c r="AS152" s="329">
        <f>SUM(AS111:AS150)+AS109-AS139-AS130-AS120-AS113</f>
        <v>122543311.81</v>
      </c>
      <c r="AT152" s="294"/>
      <c r="AU152" s="329">
        <f>SUM(AU111:AU147)+AU109-AU139-AU130-AU120-AU113</f>
        <v>427438.33</v>
      </c>
      <c r="AV152" s="294"/>
      <c r="AW152" s="329">
        <f>SUM(AW111:AW150)+AW109-AW139-AW130-AW120-AW113</f>
        <v>1167881.122</v>
      </c>
      <c r="AX152" s="294"/>
      <c r="AY152" s="329">
        <f>SUM(AY111:AY150)+AY109-AY139-AY130-AY120-AY113</f>
        <v>123711192.93200001</v>
      </c>
      <c r="AZ152" s="294"/>
      <c r="BA152" s="329">
        <f>SUM(BA111:BA150)+BA109-BA139-BA130-BA120-BA113</f>
        <v>-2836694.4600000074</v>
      </c>
    </row>
    <row r="153" spans="1:55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5" thickBot="1" x14ac:dyDescent="0.25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551014.25999999989</v>
      </c>
      <c r="AP197" s="314"/>
      <c r="AQ197" s="320">
        <f>AQ196+AQ152</f>
        <v>130326.69</v>
      </c>
      <c r="AR197" s="314"/>
      <c r="AS197" s="318">
        <f>AS196+AS152</f>
        <v>125266801.53333333</v>
      </c>
      <c r="AT197" s="294"/>
      <c r="AU197" s="320">
        <f>AU196+AU152</f>
        <v>-201448.66999999998</v>
      </c>
      <c r="AV197" s="294"/>
      <c r="AW197" s="318">
        <f>AW196+AW152+AW33</f>
        <v>2667880.162</v>
      </c>
      <c r="AX197" s="294"/>
      <c r="AY197" s="318">
        <f>+AW197+AS197-1</f>
        <v>127934680.69533333</v>
      </c>
      <c r="AZ197" s="294"/>
      <c r="BA197" s="320">
        <f>+O197-AY197</f>
        <v>-4192695.223333329</v>
      </c>
      <c r="BC197" s="39"/>
    </row>
    <row r="198" spans="1:55" ht="5.25" customHeight="1" thickTop="1" x14ac:dyDescent="0.2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5" thickBot="1" x14ac:dyDescent="0.25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278118.87107681157</v>
      </c>
      <c r="AZ199" s="294"/>
      <c r="BA199" s="295"/>
    </row>
    <row r="200" spans="1:55" customFormat="1" x14ac:dyDescent="0.2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5" thickBot="1" x14ac:dyDescent="0.25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123854233.66534834</v>
      </c>
      <c r="AT206" s="294"/>
      <c r="AU206" s="298"/>
      <c r="AV206" s="294"/>
      <c r="AW206" s="372">
        <f>+AW197+AW204</f>
        <v>2667880.162</v>
      </c>
      <c r="AX206" s="294"/>
      <c r="AY206" s="372">
        <f>+AY197+AY204+AY205</f>
        <v>126522112.82734834</v>
      </c>
      <c r="AZ206" s="294"/>
      <c r="BA206" s="372">
        <f>+BA197+BA204</f>
        <v>-4192695.223333329</v>
      </c>
    </row>
    <row r="207" spans="1:55" ht="4.5" customHeight="1" thickTop="1" x14ac:dyDescent="0.2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5" thickBot="1" x14ac:dyDescent="0.25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276249.15464486537</v>
      </c>
      <c r="AZ208" s="294"/>
      <c r="BA208" s="295"/>
    </row>
    <row r="209" spans="1:53" x14ac:dyDescent="0.2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- 122199.xls]Summary</v>
      </c>
    </row>
    <row r="211" spans="1:53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">
      <c r="B213" s="41" t="s">
        <v>474</v>
      </c>
    </row>
    <row r="215" spans="1:53" x14ac:dyDescent="0.2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1788518.99+121026807.21-102</f>
        <v>122815224.19999999</v>
      </c>
    </row>
    <row r="219" spans="1:53" x14ac:dyDescent="0.2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123282213.03333332</v>
      </c>
    </row>
    <row r="222" spans="1:53" x14ac:dyDescent="0.2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-466988.83333332837</v>
      </c>
    </row>
  </sheetData>
  <printOptions horizontalCentered="1"/>
  <pageMargins left="0.25" right="0.25" top="0.25" bottom="0.25" header="0.5" footer="0.5"/>
  <pageSetup scale="46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AP70" activePane="bottomRight" state="frozen"/>
      <selection activeCell="A16" sqref="A16"/>
      <selection pane="topRight" activeCell="A16" sqref="A16"/>
      <selection pane="bottomLeft" activeCell="A16" sqref="A16"/>
      <selection pane="bottomRight" activeCell="AW102" sqref="AW102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customWidth="1"/>
    <col min="38" max="38" width="1.28515625" style="157" customWidth="1"/>
    <col min="39" max="39" width="17.140625" style="157" customWidth="1"/>
    <col min="40" max="40" width="1.7109375" style="157" customWidth="1"/>
    <col min="41" max="41" width="22.85546875" style="157" customWidth="1"/>
    <col min="42" max="42" width="1.28515625" style="157" customWidth="1"/>
    <col min="43" max="43" width="22.85546875" style="157" customWidth="1"/>
    <col min="44" max="44" width="0.85546875" style="6" customWidth="1"/>
    <col min="45" max="45" width="22" style="6" customWidth="1"/>
    <col min="46" max="46" width="2.7109375" style="6" customWidth="1"/>
    <col min="47" max="47" width="24.5703125" style="157" customWidth="1"/>
    <col min="48" max="48" width="2.7109375" style="6" customWidth="1"/>
    <col min="49" max="49" width="23.5703125" style="6" customWidth="1"/>
    <col min="50" max="50" width="0.85546875" style="6" customWidth="1"/>
    <col min="51" max="51" width="22" style="6" customWidth="1"/>
    <col min="52" max="52" width="3.28515625" style="6" customWidth="1"/>
    <col min="53" max="53" width="15" style="8" bestFit="1" customWidth="1"/>
    <col min="54" max="54" width="0.85546875" style="6" customWidth="1"/>
    <col min="55" max="55" width="50" style="6" hidden="1" customWidth="1"/>
    <col min="56" max="56" width="0" style="6" hidden="1" customWidth="1"/>
    <col min="57" max="16384" width="9.140625" style="6"/>
  </cols>
  <sheetData>
    <row r="1" spans="1:55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36515.445471064813</v>
      </c>
      <c r="AY3" s="170"/>
      <c r="BA3" s="169" t="str">
        <f>Summary!A4</f>
        <v>Revision # 57</v>
      </c>
    </row>
    <row r="4" spans="1:55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12/17/99</v>
      </c>
      <c r="V7" s="131"/>
      <c r="W7" s="132" t="str">
        <f>+Summary!$O$3</f>
        <v>as of 12/17/99</v>
      </c>
      <c r="X7" s="131"/>
      <c r="Y7" s="132" t="str">
        <f>+Summary!$O$3</f>
        <v>as of 12/17/99</v>
      </c>
      <c r="Z7" s="131"/>
      <c r="AA7" s="132" t="str">
        <f>+Summary!$O$3</f>
        <v>as of 12/17/99</v>
      </c>
      <c r="AB7" s="131"/>
      <c r="AC7" s="132" t="str">
        <f>+Summary!$O$3</f>
        <v>as of 12/17/99</v>
      </c>
      <c r="AD7" s="131"/>
      <c r="AE7" s="132" t="str">
        <f>+Summary!$O$3</f>
        <v>as of 12/17/99</v>
      </c>
      <c r="AF7" s="132"/>
      <c r="AG7" s="132" t="str">
        <f>+Summary!$O$3</f>
        <v>as of 12/17/99</v>
      </c>
      <c r="AH7" s="132"/>
      <c r="AI7" s="132" t="str">
        <f>+Summary!$O$3</f>
        <v>as of 12/17/99</v>
      </c>
      <c r="AJ7" s="132"/>
      <c r="AK7" s="132" t="str">
        <f>+Summary!$O$3</f>
        <v>as of 12/17/99</v>
      </c>
      <c r="AL7" s="132"/>
      <c r="AM7" s="132" t="str">
        <f>+Summary!$O$3</f>
        <v>as of 12/17/99</v>
      </c>
      <c r="AN7" s="132"/>
      <c r="AO7" s="132" t="str">
        <f>+Summary!$O$3</f>
        <v>as of 12/17/99</v>
      </c>
      <c r="AP7" s="132"/>
      <c r="AQ7" s="132" t="str">
        <f>+Summary!$O$3</f>
        <v>as of 12/17/99</v>
      </c>
      <c r="AS7" s="10" t="str">
        <f>+Summary!$O$3</f>
        <v>as of 12/17/99</v>
      </c>
      <c r="AU7" s="132" t="str">
        <f>+Summary!$O$3</f>
        <v>as of 12/17/99</v>
      </c>
      <c r="AW7" s="10"/>
      <c r="AY7" s="10"/>
      <c r="BA7" s="10"/>
    </row>
    <row r="8" spans="1:55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S19" s="8">
        <f>SUM(P19:AR19)</f>
        <v>0</v>
      </c>
      <c r="AU19" s="131">
        <v>1500000</v>
      </c>
      <c r="AW19" s="8">
        <f>IF(+O19-AS19+AU19&gt;0,O19-AS19+AU19,0)</f>
        <v>1500000</v>
      </c>
      <c r="AY19" s="8">
        <f>+AW19+AS19</f>
        <v>1500000</v>
      </c>
      <c r="BA19" s="12">
        <f t="shared" si="1"/>
        <v>-1500000</v>
      </c>
    </row>
    <row r="20" spans="1:55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4852795.92</v>
      </c>
      <c r="AP21" s="135"/>
      <c r="AQ21" s="138">
        <f>SUM(AQ9:AQ20)</f>
        <v>0</v>
      </c>
      <c r="AS21" s="107">
        <f>SUM(AS9:AS20)</f>
        <v>99688927.920000002</v>
      </c>
      <c r="AU21" s="138">
        <f>SUM(AU9:AU20)</f>
        <v>1531200</v>
      </c>
      <c r="AW21" s="107">
        <f>SUM(AW9:AW20)</f>
        <v>1940180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4852795.92</v>
      </c>
      <c r="AP36" s="134"/>
      <c r="AQ36" s="134">
        <f>AQ34+AQ21</f>
        <v>0</v>
      </c>
      <c r="AS36" s="15">
        <f>AS34+AS21</f>
        <v>109975648.52</v>
      </c>
      <c r="AU36" s="131">
        <f>AU34+AU21</f>
        <v>1531200</v>
      </c>
      <c r="AW36" s="15">
        <f>AW34+AW21</f>
        <v>1940180.4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">
      <c r="A37" s="221"/>
      <c r="B37" s="117"/>
      <c r="C37" s="118"/>
      <c r="E37" s="7"/>
      <c r="U37" s="131"/>
      <c r="AU37" s="131"/>
    </row>
    <row r="38" spans="1:55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">
      <c r="A45" s="120"/>
      <c r="B45" s="31"/>
      <c r="C45" s="114"/>
      <c r="E45" s="7"/>
      <c r="G45" s="6"/>
      <c r="U45" s="131"/>
    </row>
    <row r="46" spans="1:55" x14ac:dyDescent="0.2">
      <c r="A46" s="113"/>
      <c r="B46" s="31"/>
      <c r="C46" s="114"/>
      <c r="E46" s="7"/>
      <c r="U46" s="131"/>
    </row>
    <row r="47" spans="1:55" x14ac:dyDescent="0.2">
      <c r="A47" s="112" t="s">
        <v>34</v>
      </c>
      <c r="B47" s="31"/>
      <c r="C47" s="114"/>
      <c r="E47" s="7"/>
      <c r="G47" s="6"/>
      <c r="U47" s="131"/>
    </row>
    <row r="48" spans="1:55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">
      <c r="A71" s="113"/>
      <c r="B71" s="31"/>
      <c r="C71" s="114"/>
      <c r="E71" s="7"/>
      <c r="O71" s="45"/>
      <c r="U71" s="131"/>
    </row>
    <row r="72" spans="1:55" x14ac:dyDescent="0.2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">
      <c r="A99" s="113"/>
      <c r="B99" s="31"/>
      <c r="C99" s="114"/>
      <c r="E99" s="7"/>
      <c r="O99" s="45"/>
      <c r="U99" s="131"/>
      <c r="BA99" s="12"/>
    </row>
    <row r="100" spans="1:55" x14ac:dyDescent="0.2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/>
      <c r="AR101" s="8"/>
      <c r="AS101" s="8">
        <f>SUM(P101:AR101)</f>
        <v>372274</v>
      </c>
      <c r="AT101" s="8"/>
      <c r="AU101" s="131">
        <f>268179-502431+72539-22482-46870+2043+48884</f>
        <v>-180138</v>
      </c>
      <c r="AV101" s="8"/>
      <c r="AW101" s="12">
        <f>IF(+O101-AS101+AU101&gt;0,O101-AS101+AU101,0)+498000</f>
        <v>498000</v>
      </c>
      <c r="AX101" s="8"/>
      <c r="AY101" s="12">
        <f t="shared" si="14"/>
        <v>870274</v>
      </c>
      <c r="AZ101" s="8"/>
      <c r="BA101" s="12">
        <f t="shared" ref="BA101:BA106" si="16">O101-AS101-AW101</f>
        <v>-367843</v>
      </c>
    </row>
    <row r="102" spans="1:55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0</v>
      </c>
      <c r="AS106" s="107">
        <f>SUM(AS101:AS105)</f>
        <v>10642443</v>
      </c>
      <c r="AU106" s="138">
        <f>SUM(AU101:AU105)</f>
        <v>1127956</v>
      </c>
      <c r="AW106" s="107">
        <f>SUM(AW101:AW105)</f>
        <v>498000</v>
      </c>
      <c r="AY106" s="107">
        <f t="shared" si="14"/>
        <v>11140443</v>
      </c>
      <c r="BA106" s="107">
        <f t="shared" si="16"/>
        <v>-1779937</v>
      </c>
    </row>
    <row r="107" spans="1:55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S112" s="8">
        <f>SUM(P112:AR112)</f>
        <v>0</v>
      </c>
      <c r="AU112" s="131">
        <v>283000</v>
      </c>
      <c r="AW112" s="8">
        <f>IF(+O112-AS112+AU112&gt;0,O112-AS112+AU112,0)</f>
        <v>283000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0</v>
      </c>
      <c r="AS113" s="107">
        <f>SUM(AS111:AS112)</f>
        <v>0</v>
      </c>
      <c r="AU113" s="138">
        <f>SUM(AU111:AU112)</f>
        <v>283000</v>
      </c>
      <c r="AW113" s="107">
        <f>SUM(AW111:AW112)</f>
        <v>283000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0</v>
      </c>
      <c r="AS117" s="15">
        <f>AS115+AS113+AS108+AS106+AS98+AS70</f>
        <v>28481848.919999998</v>
      </c>
      <c r="AU117" s="134">
        <f>AU115+AU113+AU108+AU106+AU98+AU70</f>
        <v>2644569</v>
      </c>
      <c r="AW117" s="15">
        <f>AW115+AW113+AW108+AW106+AW98+AW70</f>
        <v>781000.23</v>
      </c>
      <c r="AY117" s="15">
        <f t="shared" si="14"/>
        <v>29262849.149999999</v>
      </c>
      <c r="BA117" s="15">
        <f>O117-AS117-AW117</f>
        <v>-3938988.149999998</v>
      </c>
    </row>
    <row r="118" spans="1:55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5824399.3499999996</v>
      </c>
      <c r="AP119" s="140"/>
      <c r="AQ119" s="140">
        <f>AQ117+AQ44+AQ36</f>
        <v>1424.38</v>
      </c>
      <c r="AR119" s="23"/>
      <c r="AS119" s="25">
        <f>AS117+AS44+AS36</f>
        <v>139233322.19</v>
      </c>
      <c r="AT119" s="23"/>
      <c r="AU119" s="140">
        <f>AU117+AU44+AU36</f>
        <v>4341623</v>
      </c>
      <c r="AV119" s="23"/>
      <c r="AW119" s="25">
        <f>AW117+AW44</f>
        <v>791129.69000000006</v>
      </c>
      <c r="AX119" s="23"/>
      <c r="AY119" s="25">
        <f t="shared" si="14"/>
        <v>140024451.88</v>
      </c>
      <c r="AZ119" s="23"/>
      <c r="BA119" s="25">
        <f>O119-AS119-AW119</f>
        <v>-4581560.879999998</v>
      </c>
      <c r="BB119" s="23"/>
      <c r="BC119" s="80"/>
    </row>
    <row r="120" spans="1:55" x14ac:dyDescent="0.2">
      <c r="A120" s="113"/>
      <c r="B120" s="31"/>
      <c r="C120" s="114"/>
      <c r="E120" s="7"/>
      <c r="U120" s="131"/>
    </row>
    <row r="121" spans="1:55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">
      <c r="A126" s="113"/>
      <c r="B126" s="31"/>
      <c r="C126" s="114"/>
      <c r="E126" s="7"/>
      <c r="U126" s="131"/>
    </row>
    <row r="127" spans="1:55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5829605.1899999995</v>
      </c>
      <c r="AP161" s="16"/>
      <c r="AQ161" s="107">
        <f>SUM(AQ121:AQ159)+AQ119-AQ148-AQ136-AQ123</f>
        <v>27417.199999999997</v>
      </c>
      <c r="AS161" s="107">
        <f>SUM(AS121:AS159)+AS119-AS148-AS136-AS123</f>
        <v>148797195.96999997</v>
      </c>
      <c r="AU161" s="107">
        <f>SUM(AU121:AU159)+AU119-AU148-AU136-AU123</f>
        <v>3641444.33</v>
      </c>
      <c r="AW161" s="107">
        <f>SUM(AW121:AW159)+AW119-AW148-AW136-AW123</f>
        <v>1020536.5959999999</v>
      </c>
      <c r="AY161" s="107">
        <f>SUM(AY121:AY159)+AY119-AY148-AY136-AY123</f>
        <v>149817732.56599998</v>
      </c>
      <c r="BA161" s="107">
        <f>SUM(BA121:BA159)+BA119-BA148-BA136-BA123</f>
        <v>-3613281.9499999979</v>
      </c>
      <c r="BB161" s="19"/>
      <c r="BC161" s="15"/>
    </row>
    <row r="162" spans="1:55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">
      <c r="A168" s="112"/>
      <c r="B168" s="19" t="s">
        <v>550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">
      <c r="A170" s="113"/>
      <c r="B170" s="31"/>
      <c r="C170" s="114"/>
      <c r="U170" s="131"/>
    </row>
    <row r="171" spans="1:55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5" thickBot="1" x14ac:dyDescent="0.25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6085107.0299999993</v>
      </c>
      <c r="AP198" s="135"/>
      <c r="AQ198" s="136">
        <f>AQ196+AQ161</f>
        <v>135096.76</v>
      </c>
      <c r="AS198" s="18">
        <f>AS196+AS161</f>
        <v>151635290.96333331</v>
      </c>
      <c r="AU198" s="136">
        <f>AU196+AU161</f>
        <v>3101791.33</v>
      </c>
      <c r="AW198" s="18">
        <f>AW196+AW161+AW36</f>
        <v>2960716.9959999998</v>
      </c>
      <c r="AY198" s="18">
        <f>+AW198+AS198+2</f>
        <v>154596009.9593333</v>
      </c>
      <c r="BA198" s="18">
        <f>O198-AS198-AW198</f>
        <v>-5698015.3433333114</v>
      </c>
      <c r="BC198" s="8"/>
    </row>
    <row r="199" spans="1:55" ht="7.5" customHeight="1" thickTop="1" x14ac:dyDescent="0.2">
      <c r="A199" s="38"/>
      <c r="B199" s="23"/>
      <c r="C199" s="23"/>
      <c r="U199" s="131"/>
    </row>
    <row r="200" spans="1:55" ht="13.5" thickBot="1" x14ac:dyDescent="0.25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343546.68879851844</v>
      </c>
    </row>
    <row r="201" spans="1:55" customFormat="1" x14ac:dyDescent="0.2">
      <c r="R201" s="225"/>
      <c r="T201" s="225"/>
      <c r="AC201" s="89"/>
      <c r="AE201" s="89"/>
      <c r="BA201" s="8"/>
    </row>
    <row r="202" spans="1:55" customFormat="1" x14ac:dyDescent="0.2">
      <c r="A202" s="41"/>
      <c r="R202" s="225"/>
      <c r="T202" s="225"/>
      <c r="AA202" s="89"/>
      <c r="AC202" s="89"/>
      <c r="AE202" s="89"/>
      <c r="BA202" s="8"/>
    </row>
    <row r="203" spans="1:55" customFormat="1" x14ac:dyDescent="0.2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5" thickBot="1" x14ac:dyDescent="0.25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149921058.57237831</v>
      </c>
      <c r="AU207" s="131"/>
      <c r="AW207" s="245">
        <f>+AW198+AW205</f>
        <v>2960716.9959999998</v>
      </c>
      <c r="AY207" s="245">
        <f>+AY198+AY205+AY206</f>
        <v>152881777.5683783</v>
      </c>
      <c r="BA207" s="245">
        <f>+BA198+BA205</f>
        <v>-5698015.3433333114</v>
      </c>
    </row>
    <row r="208" spans="1:55" ht="4.5" customHeight="1" thickTop="1" x14ac:dyDescent="0.2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5" thickBot="1" x14ac:dyDescent="0.25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345886.37458909117</v>
      </c>
    </row>
    <row r="210" spans="1:53" x14ac:dyDescent="0.2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- 122199.xls]Summary</v>
      </c>
    </row>
    <row r="212" spans="1:53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6076683.25+142949312.32</f>
        <v>149025995.56999999</v>
      </c>
    </row>
    <row r="217" spans="1:53" x14ac:dyDescent="0.2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">
      <c r="B220" s="6" t="s">
        <v>476</v>
      </c>
      <c r="I220" s="6"/>
      <c r="O220" s="8">
        <f>SUM(O216:O219)</f>
        <v>80409665.769999996</v>
      </c>
      <c r="Q220" s="131">
        <f>AS198</f>
        <v>151635290.96333331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150368507.6633333</v>
      </c>
    </row>
    <row r="221" spans="1:53" x14ac:dyDescent="0.2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-1342512.0933333039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AN205" activePane="bottomRight" state="frozen"/>
      <selection activeCell="A16" sqref="A16"/>
      <selection pane="topRight" activeCell="A16" sqref="A16"/>
      <selection pane="bottomLeft" activeCell="A16" sqref="A16"/>
      <selection pane="bottomRight" activeCell="AS217" sqref="AS217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8.140625" style="8" hidden="1" customWidth="1"/>
    <col min="16" max="16" width="2.28515625" style="6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customWidth="1"/>
    <col min="37" max="37" width="19.140625" style="143" customWidth="1"/>
    <col min="38" max="38" width="2" style="143" customWidth="1"/>
    <col min="39" max="39" width="18" style="143" customWidth="1"/>
    <col min="40" max="40" width="2" style="143" customWidth="1"/>
    <col min="41" max="41" width="21.140625" style="143" customWidth="1"/>
    <col min="42" max="42" width="2.28515625" style="143" customWidth="1"/>
    <col min="43" max="43" width="21.140625" style="143" customWidth="1"/>
    <col min="44" max="44" width="2.140625" style="6" customWidth="1"/>
    <col min="45" max="45" width="24.7109375" style="8" customWidth="1"/>
    <col min="46" max="46" width="0.85546875" style="6" customWidth="1"/>
    <col min="47" max="47" width="23.140625" style="143" customWidth="1"/>
    <col min="48" max="48" width="0.85546875" style="6" customWidth="1"/>
    <col min="49" max="49" width="26.140625" style="8" customWidth="1"/>
    <col min="50" max="50" width="1.7109375" style="8" customWidth="1"/>
    <col min="51" max="51" width="20.85546875" style="8" customWidth="1"/>
    <col min="52" max="52" width="1.7109375" style="8" customWidth="1"/>
    <col min="53" max="53" width="21.7109375" style="8" customWidth="1"/>
    <col min="54" max="54" width="0.85546875" style="6" customWidth="1"/>
    <col min="55" max="55" width="63.42578125" style="6" hidden="1" customWidth="1"/>
    <col min="56" max="56" width="15.140625" style="8" hidden="1" customWidth="1"/>
    <col min="57" max="57" width="13.28515625" style="6" hidden="1" customWidth="1"/>
    <col min="58" max="58" width="0" style="6" hidden="1" customWidth="1"/>
    <col min="59" max="16384" width="9.140625" style="6"/>
  </cols>
  <sheetData>
    <row r="1" spans="1:57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75" x14ac:dyDescent="0.25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36515.445471180552</v>
      </c>
      <c r="AY3" s="46"/>
      <c r="BA3" s="169" t="str">
        <f>Summary!A4</f>
        <v>Revision # 57</v>
      </c>
      <c r="BD3" s="147"/>
    </row>
    <row r="4" spans="1:57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12/17/99</v>
      </c>
      <c r="V7" s="148"/>
      <c r="W7" s="175" t="str">
        <f>+Summary!$O$3</f>
        <v>as of 12/17/99</v>
      </c>
      <c r="X7" s="148"/>
      <c r="Y7" s="175" t="str">
        <f>+Summary!$O$3</f>
        <v>as of 12/17/99</v>
      </c>
      <c r="Z7" s="148"/>
      <c r="AA7" s="175" t="str">
        <f>+Summary!$O$3</f>
        <v>as of 12/17/99</v>
      </c>
      <c r="AB7" s="148"/>
      <c r="AC7" s="175" t="str">
        <f>+Summary!$O$3</f>
        <v>as of 12/17/99</v>
      </c>
      <c r="AD7" s="148"/>
      <c r="AE7" s="175" t="str">
        <f>+Summary!$O$3</f>
        <v>as of 12/17/99</v>
      </c>
      <c r="AF7" s="175"/>
      <c r="AG7" s="175" t="str">
        <f>+Summary!$O$3</f>
        <v>as of 12/17/99</v>
      </c>
      <c r="AH7" s="175"/>
      <c r="AI7" s="175" t="str">
        <f>+Summary!$O$3</f>
        <v>as of 12/17/99</v>
      </c>
      <c r="AJ7" s="175"/>
      <c r="AK7" s="175" t="str">
        <f>+Summary!$O$3</f>
        <v>as of 12/17/99</v>
      </c>
      <c r="AL7" s="175"/>
      <c r="AM7" s="175" t="str">
        <f>+Summary!$O$3</f>
        <v>as of 12/17/99</v>
      </c>
      <c r="AN7" s="175"/>
      <c r="AO7" s="175" t="str">
        <f>+Summary!$O$3</f>
        <v>as of 12/17/99</v>
      </c>
      <c r="AP7" s="175"/>
      <c r="AQ7" s="175" t="str">
        <f>+Summary!$O$3</f>
        <v>as of 12/17/99</v>
      </c>
      <c r="AS7" s="150" t="str">
        <f>+Summary!$O$3</f>
        <v>as of 12/17/99</v>
      </c>
      <c r="AU7" s="132" t="str">
        <f>+Summary!$O$3</f>
        <v>as of 12/17/99</v>
      </c>
      <c r="AW7" s="150"/>
      <c r="AY7" s="150"/>
      <c r="BA7" s="150"/>
      <c r="BD7" s="147"/>
    </row>
    <row r="8" spans="1:57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S23" s="45">
        <f>SUM(P23:AR23)</f>
        <v>0</v>
      </c>
      <c r="AU23" s="143">
        <v>1500000</v>
      </c>
      <c r="AW23" s="8">
        <f>O23-AS23+AU23</f>
        <v>1500000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56819</v>
      </c>
      <c r="AP25" s="172"/>
      <c r="AQ25" s="181">
        <f>SUBTOTAL(9,AQ9:AQ24)</f>
        <v>0</v>
      </c>
      <c r="AS25" s="181">
        <f>SUBTOTAL(9,AS9:AS24)</f>
        <v>80731106.659999996</v>
      </c>
      <c r="AU25" s="181">
        <f>SUBTOTAL(9,AU9:AU24)</f>
        <v>3754002</v>
      </c>
      <c r="AW25" s="181">
        <f>SUM(AW9:AW24)</f>
        <v>2023482.0699999952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56819</v>
      </c>
      <c r="AP43" s="15"/>
      <c r="AQ43" s="15">
        <f>AQ25+AQ27+AQ28+AQ41</f>
        <v>0</v>
      </c>
      <c r="AS43" s="15">
        <f>AS25+AS27+AS28+AS41</f>
        <v>99959239.099999994</v>
      </c>
      <c r="AU43" s="15">
        <f>+AU41+AU25</f>
        <v>3754002</v>
      </c>
      <c r="AW43" s="15">
        <f>AW25+AW27+AW28+AW41</f>
        <v>2023482.0699999952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/>
      <c r="AS125" s="45">
        <f>SUM(P125:AR125)</f>
        <v>423221</v>
      </c>
      <c r="AU125" s="143">
        <f>88085-91209-97940-39686-10472-159204</f>
        <v>-310426</v>
      </c>
      <c r="AW125" s="82">
        <f>IF(+O125-AS125+AU125&gt;0,O125-AS125+AU125,0)+1849000</f>
        <v>1849000</v>
      </c>
      <c r="AY125" s="271">
        <f>+AW125+AS125</f>
        <v>2272221</v>
      </c>
      <c r="BA125" s="8">
        <f t="shared" ref="BA125:BA131" si="19">O125-AS125-AW125</f>
        <v>-1915393</v>
      </c>
      <c r="BB125" s="45"/>
      <c r="BC125" s="45"/>
      <c r="BD125" s="45"/>
    </row>
    <row r="126" spans="1:56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0</v>
      </c>
      <c r="AS132" s="108">
        <f>SUM(AS124:AS131)</f>
        <v>10175578</v>
      </c>
      <c r="AU132" s="29">
        <f>SUM(AU124:AU131)</f>
        <v>-558222</v>
      </c>
      <c r="AW132" s="29">
        <f>SUM(AW124:AW131)</f>
        <v>1849000</v>
      </c>
      <c r="AY132" s="29">
        <f>SUM(AY124:AY131)</f>
        <v>12024578</v>
      </c>
      <c r="BA132" s="108">
        <f>SUM(BA124:BA131)</f>
        <v>-2492492</v>
      </c>
      <c r="BB132" s="183"/>
      <c r="BC132" s="29"/>
      <c r="BD132" s="45"/>
    </row>
    <row r="133" spans="1:57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S137" s="45">
        <f>SUM(P137:AR137)</f>
        <v>0</v>
      </c>
      <c r="AU137" s="143">
        <v>0</v>
      </c>
      <c r="AW137" s="15">
        <v>260000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0</v>
      </c>
      <c r="AS141" s="29">
        <f>AS139+AS135+AS134+AS132+AS121+AS87+AS80+AS137</f>
        <v>31422555.670000002</v>
      </c>
      <c r="AU141" s="141">
        <f>AU139+AU135+AU134+AU132+AU121+AU87+AU80+AU137</f>
        <v>-1248398</v>
      </c>
      <c r="AW141" s="29">
        <f>AW139+AW135+AW134+AW132+AW121+AW87+AW80+AW13-1</f>
        <v>1848999.5</v>
      </c>
      <c r="AX141" s="6"/>
      <c r="AY141" s="29">
        <f>AY139+AY135+AY134+AY132+AY121+AY87+AY80+AY137</f>
        <v>33531556.170000002</v>
      </c>
      <c r="AZ141" s="6"/>
      <c r="BA141" s="29">
        <f>BA139+BA135+BA134+BA132+BA121+BA87+BA80+BA137</f>
        <v>-2425110.17</v>
      </c>
      <c r="BB141" s="34"/>
      <c r="BC141" s="15"/>
      <c r="BE141" s="39">
        <f>+AY141+BE51</f>
        <v>132983028.34</v>
      </c>
    </row>
    <row r="142" spans="1:57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1214926.1299999999</v>
      </c>
      <c r="AP143" s="140"/>
      <c r="AQ143" s="140">
        <f>AQ141+AQ51+AQ43</f>
        <v>51444.89</v>
      </c>
      <c r="AR143" s="23"/>
      <c r="AS143" s="25">
        <f>AS141+AS51+AS43</f>
        <v>132519141.66999999</v>
      </c>
      <c r="AT143" s="23"/>
      <c r="AU143" s="140">
        <f>AU141+AU51+AU43</f>
        <v>3063452</v>
      </c>
      <c r="AV143" s="23"/>
      <c r="AW143" s="25">
        <f>AW141+AW51+AW43+AW137</f>
        <v>4194813.6699999953</v>
      </c>
      <c r="AX143" s="23"/>
      <c r="AY143" s="25">
        <f t="shared" si="23"/>
        <v>136713955.33999997</v>
      </c>
      <c r="AZ143" s="23"/>
      <c r="BA143" s="25">
        <f>BA141+BA51+BA43</f>
        <v>-19797370.340000004</v>
      </c>
      <c r="BB143" s="25"/>
      <c r="BC143" s="29"/>
      <c r="BD143" s="45">
        <f>+BD43</f>
        <v>-3730928</v>
      </c>
      <c r="BE143" s="39">
        <f>+AY143+BD143</f>
        <v>132983027.33999997</v>
      </c>
    </row>
    <row r="144" spans="1:57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1373932.9999999998</v>
      </c>
      <c r="AP179" s="16"/>
      <c r="AQ179" s="107">
        <f>SUM(AQ145:AQ177)+AQ143-AQ153-AQ166-AQ147-AQ157</f>
        <v>56702.119999999995</v>
      </c>
      <c r="AS179" s="107">
        <f>SUM(AS145:AS177)+AS143-AS153-AS166-AS147-AS157</f>
        <v>141302816.01999998</v>
      </c>
      <c r="AU179" s="15">
        <f>SUM(AU145:AU174)+AU143-AU153-AU166-AU147-AU157</f>
        <v>3053555.33</v>
      </c>
      <c r="AW179" s="107">
        <f>SUM(AW145:AW177)+AW143-AW153-AW166-AW147-AW157</f>
        <v>4192294.2839999949</v>
      </c>
      <c r="AX179" s="6"/>
      <c r="AY179" s="107">
        <f>SUM(AY145:AY177)+AY143-AY153-AY166-AY147-AY157</f>
        <v>145495110.30399996</v>
      </c>
      <c r="AZ179" s="6"/>
      <c r="BA179" s="107">
        <f>SUM(BA145:BA177)+BA143-BA153-BA166-BA147-BA157</f>
        <v>-19772346.31284558</v>
      </c>
      <c r="BB179" s="12"/>
      <c r="BC179" s="15"/>
    </row>
    <row r="180" spans="1:55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5" thickBot="1" x14ac:dyDescent="0.25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1466808.5199999998</v>
      </c>
      <c r="AP220" s="178"/>
      <c r="AQ220" s="179">
        <f>AQ179+AQ218</f>
        <v>164381.68</v>
      </c>
      <c r="AS220" s="83">
        <f>AS179+AS218</f>
        <v>144071458.8433333</v>
      </c>
      <c r="AU220" s="179">
        <f>AU179+AU218</f>
        <v>2595790.33</v>
      </c>
      <c r="AW220" s="83">
        <f>AW179+AW218</f>
        <v>4192294.2839999949</v>
      </c>
      <c r="AX220" s="6"/>
      <c r="AY220" s="83">
        <f>+AW220+AS220</f>
        <v>148263753.12733331</v>
      </c>
      <c r="AZ220" s="6"/>
      <c r="BA220" s="83">
        <f>BA179+BA218</f>
        <v>-19877453.986178912</v>
      </c>
      <c r="BB220" s="34"/>
      <c r="BC220" s="16"/>
    </row>
    <row r="221" spans="1:56" ht="5.25" customHeight="1" thickTop="1" x14ac:dyDescent="0.2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25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380163.46955726488</v>
      </c>
      <c r="AZ222" s="6"/>
      <c r="BB222" s="8"/>
      <c r="BC222" s="8"/>
    </row>
    <row r="223" spans="1:56" customFormat="1" x14ac:dyDescent="0.2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5" thickBot="1" x14ac:dyDescent="0.25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142608553.30155998</v>
      </c>
      <c r="AU227" s="131"/>
      <c r="AW227" s="245">
        <f>+AW220+AW225</f>
        <v>4192294.2839999949</v>
      </c>
      <c r="AX227" s="6"/>
      <c r="AY227" s="245">
        <f>+AY220+AY225+AY226</f>
        <v>146800847.58555999</v>
      </c>
      <c r="AZ227" s="6"/>
      <c r="BA227" s="245">
        <f>+BA220+BA225</f>
        <v>-19877453.986178912</v>
      </c>
      <c r="BD227" s="6"/>
    </row>
    <row r="228" spans="1:56" ht="4.5" customHeight="1" thickTop="1" x14ac:dyDescent="0.2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5" thickBot="1" x14ac:dyDescent="0.25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379330.35551824287</v>
      </c>
      <c r="AZ229" s="6"/>
      <c r="BD229" s="6"/>
    </row>
    <row r="230" spans="1:56" x14ac:dyDescent="0.2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- 122199.xls]Summary</v>
      </c>
      <c r="BD231" s="6"/>
    </row>
    <row r="232" spans="1:56" x14ac:dyDescent="0.2">
      <c r="AS232" s="45"/>
      <c r="AX232" s="6"/>
      <c r="AZ232" s="6"/>
      <c r="BB232" s="8"/>
      <c r="BC232" s="8"/>
    </row>
    <row r="233" spans="1:56" x14ac:dyDescent="0.2">
      <c r="AS233" s="45"/>
      <c r="AX233" s="6"/>
      <c r="AZ233" s="6"/>
      <c r="BB233" s="8"/>
      <c r="BC233" s="8"/>
    </row>
    <row r="234" spans="1:56" x14ac:dyDescent="0.2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138816653.33+2336899.86</f>
        <v>141153553.19000003</v>
      </c>
      <c r="AZ236" s="6"/>
      <c r="BD236" s="6"/>
    </row>
    <row r="237" spans="1:56" x14ac:dyDescent="0.2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142554159.6933333</v>
      </c>
      <c r="AZ240" s="6"/>
      <c r="BD240" s="6"/>
    </row>
    <row r="241" spans="2:56" x14ac:dyDescent="0.2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-1400606.5033332705</v>
      </c>
      <c r="AZ243" s="6"/>
      <c r="BD243" s="6"/>
    </row>
    <row r="244" spans="2:56" x14ac:dyDescent="0.2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">
      <c r="AS245" s="45"/>
    </row>
    <row r="246" spans="2:56" x14ac:dyDescent="0.2">
      <c r="AS246" s="45"/>
    </row>
    <row r="247" spans="2:56" x14ac:dyDescent="0.2">
      <c r="AS247" s="45"/>
    </row>
    <row r="248" spans="2:56" x14ac:dyDescent="0.2">
      <c r="AS248" s="45"/>
    </row>
    <row r="249" spans="2:56" x14ac:dyDescent="0.2">
      <c r="AS249" s="45"/>
    </row>
    <row r="250" spans="2:56" x14ac:dyDescent="0.2">
      <c r="AS250" s="45"/>
    </row>
    <row r="251" spans="2:56" x14ac:dyDescent="0.2">
      <c r="AS251" s="45"/>
    </row>
    <row r="252" spans="2:56" x14ac:dyDescent="0.2">
      <c r="AS252" s="45"/>
    </row>
    <row r="253" spans="2:56" x14ac:dyDescent="0.2">
      <c r="AS253" s="45"/>
    </row>
    <row r="254" spans="2:56" x14ac:dyDescent="0.2">
      <c r="AS254" s="45"/>
    </row>
    <row r="255" spans="2:56" x14ac:dyDescent="0.2">
      <c r="AS255" s="45"/>
    </row>
    <row r="256" spans="2:56" x14ac:dyDescent="0.2">
      <c r="AS256" s="45"/>
    </row>
    <row r="257" spans="45:45" x14ac:dyDescent="0.2">
      <c r="AS257" s="45"/>
    </row>
    <row r="258" spans="45:45" x14ac:dyDescent="0.2">
      <c r="AS258" s="45"/>
    </row>
    <row r="259" spans="45:45" x14ac:dyDescent="0.2">
      <c r="AS259" s="45"/>
    </row>
    <row r="260" spans="45:45" x14ac:dyDescent="0.2">
      <c r="AS260" s="45"/>
    </row>
    <row r="261" spans="45:45" x14ac:dyDescent="0.2">
      <c r="AS261" s="45"/>
    </row>
    <row r="262" spans="45:45" x14ac:dyDescent="0.2">
      <c r="AS262" s="45"/>
    </row>
    <row r="263" spans="45:45" x14ac:dyDescent="0.2">
      <c r="AS263" s="45"/>
    </row>
    <row r="264" spans="45:45" x14ac:dyDescent="0.2">
      <c r="AS264" s="45"/>
    </row>
    <row r="265" spans="45:45" x14ac:dyDescent="0.2">
      <c r="AS265" s="45"/>
    </row>
    <row r="266" spans="45:45" x14ac:dyDescent="0.2">
      <c r="AS266" s="45"/>
    </row>
    <row r="267" spans="45:45" x14ac:dyDescent="0.2">
      <c r="AS267" s="45"/>
    </row>
    <row r="268" spans="45:45" x14ac:dyDescent="0.2">
      <c r="AS268" s="45"/>
    </row>
    <row r="269" spans="45:45" x14ac:dyDescent="0.2">
      <c r="AS269" s="45"/>
    </row>
    <row r="270" spans="45:45" x14ac:dyDescent="0.2">
      <c r="AS270" s="45"/>
    </row>
    <row r="271" spans="45:45" x14ac:dyDescent="0.2">
      <c r="AS271" s="45"/>
    </row>
    <row r="272" spans="45:45" x14ac:dyDescent="0.2">
      <c r="AS272" s="45"/>
    </row>
    <row r="273" spans="45:45" x14ac:dyDescent="0.2">
      <c r="AS273" s="45"/>
    </row>
    <row r="274" spans="45:45" x14ac:dyDescent="0.2">
      <c r="AS274" s="45"/>
    </row>
    <row r="275" spans="45:45" x14ac:dyDescent="0.2">
      <c r="AS275" s="45"/>
    </row>
    <row r="276" spans="45:45" x14ac:dyDescent="0.2">
      <c r="AS276" s="45"/>
    </row>
    <row r="277" spans="45:45" x14ac:dyDescent="0.2">
      <c r="AS277" s="45"/>
    </row>
    <row r="278" spans="45:45" x14ac:dyDescent="0.2">
      <c r="AS278" s="45"/>
    </row>
    <row r="279" spans="45:45" x14ac:dyDescent="0.2">
      <c r="AS279" s="45"/>
    </row>
    <row r="280" spans="45:45" x14ac:dyDescent="0.2">
      <c r="AS280" s="45"/>
    </row>
    <row r="281" spans="45:45" x14ac:dyDescent="0.2">
      <c r="AS281" s="45"/>
    </row>
    <row r="282" spans="45:45" x14ac:dyDescent="0.2">
      <c r="AS282" s="45"/>
    </row>
    <row r="283" spans="45:45" x14ac:dyDescent="0.2">
      <c r="AS283" s="45"/>
    </row>
    <row r="284" spans="45:45" x14ac:dyDescent="0.2">
      <c r="AS284" s="45"/>
    </row>
    <row r="285" spans="45:45" x14ac:dyDescent="0.2">
      <c r="AS285" s="45"/>
    </row>
    <row r="286" spans="45:45" x14ac:dyDescent="0.2">
      <c r="AS286" s="45"/>
    </row>
    <row r="287" spans="45:45" x14ac:dyDescent="0.2">
      <c r="AS287" s="45"/>
    </row>
    <row r="288" spans="45:45" x14ac:dyDescent="0.2">
      <c r="AS288" s="45"/>
    </row>
    <row r="289" spans="45:45" x14ac:dyDescent="0.2">
      <c r="AS289" s="45"/>
    </row>
    <row r="290" spans="45:45" x14ac:dyDescent="0.2">
      <c r="AS290" s="45"/>
    </row>
    <row r="291" spans="45:45" x14ac:dyDescent="0.2">
      <c r="AS291" s="45"/>
    </row>
    <row r="292" spans="45:45" x14ac:dyDescent="0.2">
      <c r="AS292" s="45"/>
    </row>
  </sheetData>
  <printOptions horizontalCentered="1"/>
  <pageMargins left="0.25" right="0.25" top="0.25" bottom="0.25" header="0.5" footer="0.5"/>
  <pageSetup scale="41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1999-12-21T16:42:09Z</cp:lastPrinted>
  <dcterms:created xsi:type="dcterms:W3CDTF">1998-11-04T14:40:39Z</dcterms:created>
  <dcterms:modified xsi:type="dcterms:W3CDTF">2023-09-13T22:19:37Z</dcterms:modified>
</cp:coreProperties>
</file>