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AA4741D-6313-4A24-85B2-D6EAC5D0D056}" xr6:coauthVersionLast="47" xr6:coauthVersionMax="47" xr10:uidLastSave="{00000000-0000-0000-0000-000000000000}"/>
  <bookViews>
    <workbookView xWindow="-120" yWindow="-120" windowWidth="38640" windowHeight="15720"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Summary!$A$1:$O$93</definedName>
    <definedName name="_xlnm.Print_Area" localSheetId="8">Wheatland!$A$1:$BT$231</definedName>
    <definedName name="_xlnm.Print_Area" localSheetId="5">Wilton!$A$1:$BT$234</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M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M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M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M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M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M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M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M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M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M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M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M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G200" i="10"/>
  <c r="AH200" i="10"/>
  <c r="AI200" i="10"/>
  <c r="AJ200" i="10"/>
  <c r="AK200" i="10"/>
  <c r="AL200" i="10"/>
  <c r="AM200" i="10"/>
  <c r="AN200" i="10"/>
  <c r="AO200" i="10"/>
  <c r="AP200" i="10"/>
  <c r="AQ200" i="10"/>
  <c r="AR200" i="10"/>
  <c r="AS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G205" i="10"/>
  <c r="AH205" i="10"/>
  <c r="AI205" i="10"/>
  <c r="AJ205" i="10"/>
  <c r="AK205" i="10"/>
  <c r="AL205" i="10"/>
  <c r="AM205" i="10"/>
  <c r="AN205" i="10"/>
  <c r="AO205" i="10"/>
  <c r="AP205" i="10"/>
  <c r="AQ205" i="10"/>
  <c r="AR205" i="10"/>
  <c r="AS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G216" i="10"/>
  <c r="AH216" i="10"/>
  <c r="AI216" i="10"/>
  <c r="AJ216" i="10"/>
  <c r="AK216" i="10"/>
  <c r="AL216" i="10"/>
  <c r="AM216" i="10"/>
  <c r="AN216" i="10"/>
  <c r="AO216" i="10"/>
  <c r="AP216" i="10"/>
  <c r="AQ216" i="10"/>
  <c r="AR216" i="10"/>
  <c r="AS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R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BN213" i="15"/>
  <c r="BR213" i="15"/>
  <c r="BT213" i="15"/>
  <c r="BV213" i="15"/>
  <c r="R214" i="15"/>
  <c r="BN214" i="15"/>
  <c r="BR214" i="15"/>
  <c r="BT214" i="15"/>
  <c r="BV214" i="15"/>
  <c r="P215" i="15"/>
  <c r="R215" i="15"/>
  <c r="AR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BN221" i="15"/>
  <c r="BR221" i="15"/>
  <c r="BT221" i="15"/>
  <c r="BV221" i="15"/>
  <c r="P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I45" i="16"/>
  <c r="J45" i="16"/>
  <c r="K45" i="16"/>
  <c r="L45" i="16"/>
  <c r="M45" i="16"/>
  <c r="N45" i="16"/>
  <c r="O45" i="16"/>
  <c r="P45" i="16"/>
  <c r="Q45" i="16"/>
  <c r="R45"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6" i="5"/>
  <c r="C67" i="5"/>
  <c r="C70" i="5"/>
  <c r="C71" i="5"/>
  <c r="C72" i="5"/>
  <c r="C73" i="5"/>
  <c r="C74" i="5"/>
  <c r="C75" i="5"/>
  <c r="C77" i="5"/>
  <c r="C78" i="5"/>
  <c r="C80" i="5"/>
  <c r="C81" i="5"/>
  <c r="C82" i="5"/>
  <c r="C83" i="5"/>
  <c r="C84" i="5"/>
  <c r="C85" i="5"/>
  <c r="C87" i="5"/>
  <c r="C90" i="5"/>
  <c r="A93"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P41" i="13"/>
  <c r="BR41" i="13"/>
  <c r="BT41" i="13"/>
  <c r="BL42" i="13"/>
  <c r="BP42" i="13"/>
  <c r="BR42" i="13"/>
  <c r="BT42" i="13"/>
  <c r="BL43" i="13"/>
  <c r="BP43" i="13"/>
  <c r="BR43" i="13"/>
  <c r="BT43" i="13"/>
  <c r="BL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BL196" i="13"/>
  <c r="BP196" i="13"/>
  <c r="BR196" i="13"/>
  <c r="BT196" i="13"/>
  <c r="BL197" i="13"/>
  <c r="BP197" i="13"/>
  <c r="BR197" i="13"/>
  <c r="BT197" i="13"/>
  <c r="N198" i="13"/>
  <c r="O198" i="13"/>
  <c r="P198" i="13"/>
  <c r="Q198" i="13"/>
  <c r="R198" i="13"/>
  <c r="T198" i="13"/>
  <c r="V198" i="13"/>
  <c r="X198" i="13"/>
  <c r="Z198" i="13"/>
  <c r="AB198" i="13"/>
  <c r="AD198" i="13"/>
  <c r="AF198" i="13"/>
  <c r="AH198" i="13"/>
  <c r="AJ198" i="13"/>
  <c r="AL198" i="13"/>
  <c r="AN198" i="13"/>
  <c r="AP198" i="13"/>
  <c r="AR198" i="13"/>
  <c r="AT198" i="13"/>
  <c r="AV198" i="13"/>
  <c r="AX198" i="13"/>
  <c r="AZ198" i="13"/>
  <c r="BB198" i="13"/>
  <c r="BD198" i="13"/>
  <c r="BF198" i="13"/>
  <c r="BH198" i="13"/>
  <c r="BJ198" i="13"/>
  <c r="BL198" i="13"/>
  <c r="BN198" i="13"/>
  <c r="BP198" i="13"/>
  <c r="BR198" i="13"/>
  <c r="BT198" i="13"/>
  <c r="P200" i="13"/>
  <c r="R200" i="13"/>
  <c r="V200" i="13"/>
  <c r="Z200" i="13"/>
  <c r="AF200" i="13"/>
  <c r="AH200" i="13"/>
  <c r="AJ200" i="13"/>
  <c r="AL200" i="13"/>
  <c r="AN200" i="13"/>
  <c r="AP200" i="13"/>
  <c r="BL200" i="13"/>
  <c r="BP200" i="13"/>
  <c r="BR200" i="13"/>
  <c r="BT200"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AN202" i="13"/>
  <c r="AO202" i="13"/>
  <c r="AP202" i="13"/>
  <c r="AQ202" i="13"/>
  <c r="AR202" i="13"/>
  <c r="AS202" i="13"/>
  <c r="AT202" i="13"/>
  <c r="AU202" i="13"/>
  <c r="AV202" i="13"/>
  <c r="AW202" i="13"/>
  <c r="AX202" i="13"/>
  <c r="AY202" i="13"/>
  <c r="AZ202" i="13"/>
  <c r="BA202" i="13"/>
  <c r="BB202" i="13"/>
  <c r="BC202" i="13"/>
  <c r="BD202" i="13"/>
  <c r="BE202" i="13"/>
  <c r="BF202" i="13"/>
  <c r="BG202" i="13"/>
  <c r="BH202" i="13"/>
  <c r="BI202" i="13"/>
  <c r="BJ202" i="13"/>
  <c r="BK202" i="13"/>
  <c r="BL202" i="13"/>
  <c r="BM202" i="13"/>
  <c r="BN202" i="13"/>
  <c r="BO202" i="13"/>
  <c r="BP202" i="13"/>
  <c r="BQ202" i="13"/>
  <c r="BR202" i="13"/>
  <c r="BS202" i="13"/>
  <c r="BT202" i="13"/>
  <c r="BU202" i="13"/>
  <c r="P204" i="13"/>
  <c r="R204" i="13"/>
  <c r="BP204" i="13"/>
  <c r="BR204" i="13"/>
  <c r="BT204"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R208" i="13"/>
  <c r="P210" i="13"/>
  <c r="AB210" i="13"/>
  <c r="BL210" i="13"/>
  <c r="BP210" i="13"/>
  <c r="BR210" i="13"/>
  <c r="BT210" i="13"/>
  <c r="BL212" i="13"/>
  <c r="BP212" i="13"/>
  <c r="BR212" i="13"/>
  <c r="BT212" i="13"/>
  <c r="BL214" i="13"/>
  <c r="BR214" i="13"/>
  <c r="R216" i="13"/>
  <c r="S216" i="13"/>
  <c r="T216" i="13"/>
  <c r="U216" i="13"/>
  <c r="V216" i="13"/>
  <c r="W216" i="13"/>
  <c r="X216" i="13"/>
  <c r="Y216" i="13"/>
  <c r="Z216" i="13"/>
  <c r="AA216" i="13"/>
  <c r="AB216" i="13"/>
  <c r="AC216" i="13"/>
  <c r="AD216" i="13"/>
  <c r="AE216" i="13"/>
  <c r="AF216" i="13"/>
  <c r="AG216" i="13"/>
  <c r="AH216" i="13"/>
  <c r="AI216" i="13"/>
  <c r="AJ216" i="13"/>
  <c r="AL216" i="13"/>
  <c r="AN216" i="13"/>
  <c r="AO216" i="13"/>
  <c r="AP216" i="13"/>
  <c r="AQ216" i="13"/>
  <c r="AR216" i="13"/>
  <c r="AS216" i="13"/>
  <c r="AT216" i="13"/>
  <c r="AU216" i="13"/>
  <c r="AV216" i="13"/>
  <c r="AW216" i="13"/>
  <c r="AX216" i="13"/>
  <c r="AY216" i="13"/>
  <c r="AZ216" i="13"/>
  <c r="BA216" i="13"/>
  <c r="BB216" i="13"/>
  <c r="BC216" i="13"/>
  <c r="BD216" i="13"/>
  <c r="BE216" i="13"/>
  <c r="BF216" i="13"/>
  <c r="BG216" i="13"/>
  <c r="BH216" i="13"/>
  <c r="BI216" i="13"/>
  <c r="BJ216" i="13"/>
  <c r="BK216" i="13"/>
  <c r="BL216" i="13"/>
  <c r="BM216" i="13"/>
  <c r="BN216" i="13"/>
  <c r="BO216" i="13"/>
  <c r="BP216" i="13"/>
  <c r="BQ216" i="13"/>
  <c r="BR216" i="13"/>
  <c r="BS216" i="13"/>
  <c r="BT216" i="13"/>
  <c r="BU216" i="13"/>
  <c r="BL220" i="13"/>
  <c r="BR220" i="13"/>
  <c r="BL221" i="13"/>
  <c r="BR221" i="13"/>
  <c r="BT221" i="13"/>
  <c r="BL222" i="13"/>
  <c r="BR222" i="13"/>
  <c r="BL223" i="13"/>
  <c r="BR223" i="13"/>
  <c r="BT223" i="13"/>
  <c r="N225" i="13"/>
  <c r="P225" i="13"/>
  <c r="R225" i="13"/>
  <c r="T225" i="13"/>
  <c r="V225" i="13"/>
  <c r="X225" i="13"/>
  <c r="Z225" i="13"/>
  <c r="AA225" i="13"/>
  <c r="AB225" i="13"/>
  <c r="AC225" i="13"/>
  <c r="AD225" i="13"/>
  <c r="BL225" i="13"/>
  <c r="BP225" i="13"/>
  <c r="BR225" i="13"/>
  <c r="BT225" i="13"/>
  <c r="N229" i="13"/>
  <c r="P229" i="13"/>
  <c r="R229" i="13"/>
  <c r="S229" i="13"/>
  <c r="T229" i="13"/>
  <c r="U229" i="13"/>
  <c r="V229" i="13"/>
  <c r="W229" i="13"/>
  <c r="X229" i="13"/>
  <c r="Y229" i="13"/>
  <c r="Z229" i="13"/>
  <c r="AA229" i="13"/>
  <c r="AB229" i="13"/>
  <c r="AC229" i="13"/>
  <c r="AD229" i="13"/>
  <c r="AE229" i="13"/>
  <c r="AF229" i="13"/>
  <c r="AG229" i="13"/>
  <c r="AH229" i="13"/>
  <c r="AI229" i="13"/>
  <c r="AJ229" i="13"/>
  <c r="AK229" i="13"/>
  <c r="AL229" i="13"/>
  <c r="AM229" i="13"/>
  <c r="AN229" i="13"/>
  <c r="AO229" i="13"/>
  <c r="AP229" i="13"/>
  <c r="AQ229" i="13"/>
  <c r="AR229" i="13"/>
  <c r="AS229" i="13"/>
  <c r="AT229" i="13"/>
  <c r="AU229" i="13"/>
  <c r="AV229" i="13"/>
  <c r="AW229" i="13"/>
  <c r="AX229" i="13"/>
  <c r="AY229" i="13"/>
  <c r="AZ229" i="13"/>
  <c r="BA229" i="13"/>
  <c r="BB229" i="13"/>
  <c r="BC229" i="13"/>
  <c r="BD229" i="13"/>
  <c r="BE229" i="13"/>
  <c r="BF229" i="13"/>
  <c r="BG229" i="13"/>
  <c r="BH229" i="13"/>
  <c r="BI229" i="13"/>
  <c r="BJ229" i="13"/>
  <c r="BK229" i="13"/>
  <c r="BL229" i="13"/>
  <c r="BM229" i="13"/>
  <c r="BN229" i="13"/>
  <c r="BO229" i="13"/>
  <c r="BP229" i="13"/>
  <c r="BQ229" i="13"/>
  <c r="BR229" i="13"/>
  <c r="BS229" i="13"/>
  <c r="BT229" i="13"/>
  <c r="N231" i="13"/>
  <c r="P231" i="13"/>
  <c r="R231" i="13"/>
  <c r="S231" i="13"/>
  <c r="T231" i="13"/>
  <c r="U231" i="13"/>
  <c r="V231" i="13"/>
  <c r="W231" i="13"/>
  <c r="X231" i="13"/>
  <c r="Y231" i="13"/>
  <c r="Z231" i="13"/>
  <c r="AA231" i="13"/>
  <c r="AB231" i="13"/>
  <c r="AC231" i="13"/>
  <c r="AD231" i="13"/>
  <c r="AE231" i="13"/>
  <c r="AF231" i="13"/>
  <c r="AG231" i="13"/>
  <c r="AH231" i="13"/>
  <c r="AI231" i="13"/>
  <c r="AJ231" i="13"/>
  <c r="AK231" i="13"/>
  <c r="AL231" i="13"/>
  <c r="AM231" i="13"/>
  <c r="AN231" i="13"/>
  <c r="AO231" i="13"/>
  <c r="AP231" i="13"/>
  <c r="AQ231" i="13"/>
  <c r="AR231" i="13"/>
  <c r="AS231" i="13"/>
  <c r="AT231" i="13"/>
  <c r="AU231" i="13"/>
  <c r="AV231" i="13"/>
  <c r="AW231" i="13"/>
  <c r="AX231" i="13"/>
  <c r="AY231" i="13"/>
  <c r="AZ231" i="13"/>
  <c r="BA231" i="13"/>
  <c r="BB231" i="13"/>
  <c r="BC231" i="13"/>
  <c r="BD231" i="13"/>
  <c r="BE231" i="13"/>
  <c r="BF231" i="13"/>
  <c r="BG231" i="13"/>
  <c r="BH231" i="13"/>
  <c r="BI231" i="13"/>
  <c r="BJ231" i="13"/>
  <c r="BK231" i="13"/>
  <c r="BL231" i="13"/>
  <c r="BM231" i="13"/>
  <c r="BN231" i="13"/>
  <c r="BO231" i="13"/>
  <c r="BP231" i="13"/>
  <c r="BQ231" i="13"/>
  <c r="BR231" i="13"/>
  <c r="BS231" i="13"/>
  <c r="BT231"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BL39" i="12"/>
  <c r="BN39" i="12"/>
  <c r="BP39" i="12"/>
  <c r="BR39" i="12"/>
  <c r="BT39" i="12"/>
  <c r="BL40" i="12"/>
  <c r="BN40" i="12"/>
  <c r="BP40" i="12"/>
  <c r="BR40" i="12"/>
  <c r="BT40" i="12"/>
  <c r="BL41" i="12"/>
  <c r="BN41" i="12"/>
  <c r="BP41" i="12"/>
  <c r="BR41" i="12"/>
  <c r="BT41" i="12"/>
  <c r="BL42" i="12"/>
  <c r="BN42" i="12"/>
  <c r="BP42" i="12"/>
  <c r="BR42" i="12"/>
  <c r="BT42" i="12"/>
  <c r="BL43" i="12"/>
  <c r="BN43" i="12"/>
  <c r="BP43" i="12"/>
  <c r="BR43" i="12"/>
  <c r="BT43" i="12"/>
  <c r="BL44" i="12"/>
  <c r="BP44" i="12"/>
  <c r="BR44" i="12"/>
  <c r="BT44" i="12"/>
  <c r="BL45" i="12"/>
  <c r="BN45" i="12"/>
  <c r="BP45" i="12"/>
  <c r="BR45" i="12"/>
  <c r="BT45" i="12"/>
  <c r="BL46" i="12"/>
  <c r="BN46" i="12"/>
  <c r="BP46" i="12"/>
  <c r="BR46" i="12"/>
  <c r="BT46" i="12"/>
  <c r="BL47" i="12"/>
  <c r="BN47" i="12"/>
  <c r="BP47" i="12"/>
  <c r="BR47" i="12"/>
  <c r="BT47" i="12"/>
  <c r="BL48" i="12"/>
  <c r="BN48" i="12"/>
  <c r="BP48" i="12"/>
  <c r="BR48" i="12"/>
  <c r="BT48"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AP121" i="12"/>
  <c r="BL121" i="12"/>
  <c r="BO121" i="12"/>
  <c r="BQ121" i="12"/>
  <c r="BR121" i="12"/>
  <c r="BS121" i="12"/>
  <c r="BT121" i="12"/>
  <c r="N123" i="12"/>
  <c r="P123" i="12"/>
  <c r="R123" i="12"/>
  <c r="S123" i="12"/>
  <c r="T123" i="12"/>
  <c r="U123" i="12"/>
  <c r="V123" i="12"/>
  <c r="W123" i="12"/>
  <c r="X123" i="12"/>
  <c r="Y123" i="12"/>
  <c r="Z123" i="12"/>
  <c r="AA123" i="12"/>
  <c r="AB123" i="12"/>
  <c r="AC123" i="12"/>
  <c r="AD123" i="12"/>
  <c r="AF123" i="12"/>
  <c r="AH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AH126" i="12"/>
  <c r="BL126" i="12"/>
  <c r="BP126" i="12"/>
  <c r="BR126" i="12"/>
  <c r="BT126" i="12"/>
  <c r="AH127" i="12"/>
  <c r="BL127" i="12"/>
  <c r="BP127" i="12"/>
  <c r="BR127" i="12"/>
  <c r="BT127" i="12"/>
  <c r="BL128" i="12"/>
  <c r="BP128" i="12"/>
  <c r="BR128" i="12"/>
  <c r="BT128" i="12"/>
  <c r="R129" i="12"/>
  <c r="BL129" i="12"/>
  <c r="BP129" i="12"/>
  <c r="BR129" i="12"/>
  <c r="BT129" i="12"/>
  <c r="R130" i="12"/>
  <c r="BL130" i="12"/>
  <c r="BP130" i="12"/>
  <c r="BR130" i="12"/>
  <c r="BT130" i="12"/>
  <c r="R131" i="12"/>
  <c r="BL131" i="12"/>
  <c r="BP131" i="12"/>
  <c r="BR131" i="12"/>
  <c r="BT131" i="12"/>
  <c r="BP132" i="12"/>
  <c r="N133" i="12"/>
  <c r="P133" i="12"/>
  <c r="R133" i="12"/>
  <c r="T133" i="12"/>
  <c r="V133" i="12"/>
  <c r="X133" i="12"/>
  <c r="Z133" i="12"/>
  <c r="AB133" i="12"/>
  <c r="AD133" i="12"/>
  <c r="AF133" i="12"/>
  <c r="AH133" i="12"/>
  <c r="AJ133" i="12"/>
  <c r="AL133" i="12"/>
  <c r="AN133" i="12"/>
  <c r="AP133" i="12"/>
  <c r="AR133" i="12"/>
  <c r="AT133" i="12"/>
  <c r="AV133" i="12"/>
  <c r="AX133" i="12"/>
  <c r="AZ133" i="12"/>
  <c r="BB133" i="12"/>
  <c r="BD133" i="12"/>
  <c r="BF133" i="12"/>
  <c r="BH133" i="12"/>
  <c r="BJ133" i="12"/>
  <c r="BL133" i="12"/>
  <c r="BN133" i="12"/>
  <c r="BP133" i="12"/>
  <c r="BR133" i="12"/>
  <c r="BT133" i="12"/>
  <c r="BL136" i="12"/>
  <c r="BP136" i="12"/>
  <c r="BR136" i="12"/>
  <c r="BT136" i="12"/>
  <c r="BL137" i="12"/>
  <c r="BP137" i="12"/>
  <c r="BR137" i="12"/>
  <c r="BT137" i="12"/>
  <c r="BL138" i="12"/>
  <c r="BP138" i="12"/>
  <c r="BR138" i="12"/>
  <c r="BT138" i="12"/>
  <c r="BL139" i="12"/>
  <c r="BP139" i="12"/>
  <c r="BR139" i="12"/>
  <c r="BT139" i="12"/>
  <c r="BL140" i="12"/>
  <c r="BP140" i="12"/>
  <c r="BR140" i="12"/>
  <c r="BT140" i="12"/>
  <c r="BP141" i="12"/>
  <c r="N142" i="12"/>
  <c r="P142" i="12"/>
  <c r="R142" i="12"/>
  <c r="T142" i="12"/>
  <c r="V142" i="12"/>
  <c r="X142" i="12"/>
  <c r="Z142" i="12"/>
  <c r="AB142" i="12"/>
  <c r="AD142" i="12"/>
  <c r="AF142" i="12"/>
  <c r="AH142" i="12"/>
  <c r="AJ142" i="12"/>
  <c r="AL142" i="12"/>
  <c r="AN142" i="12"/>
  <c r="AP142" i="12"/>
  <c r="AR142" i="12"/>
  <c r="AT142" i="12"/>
  <c r="AV142" i="12"/>
  <c r="AX142" i="12"/>
  <c r="AZ142" i="12"/>
  <c r="BB142" i="12"/>
  <c r="BD142" i="12"/>
  <c r="BF142" i="12"/>
  <c r="BH142" i="12"/>
  <c r="BJ142" i="12"/>
  <c r="BL142" i="12"/>
  <c r="BN142" i="12"/>
  <c r="BP142" i="12"/>
  <c r="BR142" i="12"/>
  <c r="BT142" i="12"/>
  <c r="AJ146" i="12"/>
  <c r="BL148" i="12"/>
  <c r="BP148" i="12"/>
  <c r="BR148" i="12"/>
  <c r="BT148" i="12"/>
  <c r="R149" i="12"/>
  <c r="BL149" i="12"/>
  <c r="BP149" i="12"/>
  <c r="BR149" i="12"/>
  <c r="BT149" i="12"/>
  <c r="BL150" i="12"/>
  <c r="BP150" i="12"/>
  <c r="BR150" i="12"/>
  <c r="BT150" i="12"/>
  <c r="N151" i="12"/>
  <c r="P151" i="12"/>
  <c r="R151" i="12"/>
  <c r="T151" i="12"/>
  <c r="V151" i="12"/>
  <c r="X151" i="12"/>
  <c r="Z151" i="12"/>
  <c r="AB151" i="12"/>
  <c r="AD151" i="12"/>
  <c r="AF151" i="12"/>
  <c r="AH151" i="12"/>
  <c r="AJ151" i="12"/>
  <c r="AL151" i="12"/>
  <c r="AN151" i="12"/>
  <c r="AP151" i="12"/>
  <c r="AR151" i="12"/>
  <c r="AT151" i="12"/>
  <c r="AV151" i="12"/>
  <c r="AX151" i="12"/>
  <c r="AZ151" i="12"/>
  <c r="BB151" i="12"/>
  <c r="BD151" i="12"/>
  <c r="BF151" i="12"/>
  <c r="BH151" i="12"/>
  <c r="BJ151" i="12"/>
  <c r="BL151" i="12"/>
  <c r="BN151" i="12"/>
  <c r="BP151" i="12"/>
  <c r="BR151" i="12"/>
  <c r="BT151" i="12"/>
  <c r="BL153" i="12"/>
  <c r="BP153" i="12"/>
  <c r="BR153" i="12"/>
  <c r="BT153" i="12"/>
  <c r="BL155" i="12"/>
  <c r="BP155" i="12"/>
  <c r="BR155" i="12"/>
  <c r="BT155" i="12"/>
  <c r="BL157" i="12"/>
  <c r="BP157" i="12"/>
  <c r="BR157" i="12"/>
  <c r="BT157" i="12"/>
  <c r="BL159" i="12"/>
  <c r="BP159" i="12"/>
  <c r="BR159" i="12"/>
  <c r="BT159" i="12"/>
  <c r="BL162" i="12"/>
  <c r="BP162" i="12"/>
  <c r="BR162" i="12"/>
  <c r="BT162" i="12"/>
  <c r="BL163" i="12"/>
  <c r="BP163" i="12"/>
  <c r="BR163" i="12"/>
  <c r="BT163" i="12"/>
  <c r="R164" i="12"/>
  <c r="BL164" i="12"/>
  <c r="BP164" i="12"/>
  <c r="BR164" i="12"/>
  <c r="BT164" i="12"/>
  <c r="BP165" i="12"/>
  <c r="BR165" i="12"/>
  <c r="BT165" i="12"/>
  <c r="N166" i="12"/>
  <c r="P166" i="12"/>
  <c r="R166" i="12"/>
  <c r="T166" i="12"/>
  <c r="V166" i="12"/>
  <c r="X166" i="12"/>
  <c r="Z166" i="12"/>
  <c r="AB166" i="12"/>
  <c r="AD166" i="12"/>
  <c r="AF166" i="12"/>
  <c r="AH166" i="12"/>
  <c r="AJ166" i="12"/>
  <c r="AL166" i="12"/>
  <c r="AN166" i="12"/>
  <c r="AP166" i="12"/>
  <c r="AR166" i="12"/>
  <c r="AT166" i="12"/>
  <c r="AV166" i="12"/>
  <c r="AX166" i="12"/>
  <c r="AZ166" i="12"/>
  <c r="BB166" i="12"/>
  <c r="BD166" i="12"/>
  <c r="BF166" i="12"/>
  <c r="BH166" i="12"/>
  <c r="BJ166" i="12"/>
  <c r="BL166" i="12"/>
  <c r="BN166" i="12"/>
  <c r="BP166" i="12"/>
  <c r="BR166" i="12"/>
  <c r="BT166" i="12"/>
  <c r="BL169" i="12"/>
  <c r="BP169" i="12"/>
  <c r="BR169" i="12"/>
  <c r="BT169" i="12"/>
  <c r="BL170" i="12"/>
  <c r="BP170" i="12"/>
  <c r="BR170" i="12"/>
  <c r="BT170" i="12"/>
  <c r="AF171" i="12"/>
  <c r="AH171" i="12"/>
  <c r="AJ171" i="12"/>
  <c r="AP171" i="12"/>
  <c r="BL171" i="12"/>
  <c r="BP171" i="12"/>
  <c r="BR171" i="12"/>
  <c r="BT171" i="12"/>
  <c r="BP172" i="12"/>
  <c r="N173" i="12"/>
  <c r="P173" i="12"/>
  <c r="R173" i="12"/>
  <c r="T173" i="12"/>
  <c r="V173" i="12"/>
  <c r="X173" i="12"/>
  <c r="Z173" i="12"/>
  <c r="AB173" i="12"/>
  <c r="AD173" i="12"/>
  <c r="AF173" i="12"/>
  <c r="AH173" i="12"/>
  <c r="AJ173" i="12"/>
  <c r="AL173" i="12"/>
  <c r="AN173" i="12"/>
  <c r="AP173" i="12"/>
  <c r="AR173" i="12"/>
  <c r="AT173" i="12"/>
  <c r="AV173" i="12"/>
  <c r="AX173" i="12"/>
  <c r="AZ173" i="12"/>
  <c r="BB173" i="12"/>
  <c r="BD173" i="12"/>
  <c r="BF173" i="12"/>
  <c r="BH173" i="12"/>
  <c r="BJ173" i="12"/>
  <c r="BL173" i="12"/>
  <c r="BN173" i="12"/>
  <c r="BP173" i="12"/>
  <c r="BR173" i="12"/>
  <c r="BT173" i="12"/>
  <c r="AP175" i="12"/>
  <c r="BL175" i="12"/>
  <c r="BP175" i="12"/>
  <c r="BR175" i="12"/>
  <c r="BT175" i="12"/>
  <c r="BL177" i="12"/>
  <c r="BP177" i="12"/>
  <c r="BR177" i="12"/>
  <c r="BT177" i="12"/>
  <c r="R180" i="12"/>
  <c r="BL180" i="12"/>
  <c r="BP180" i="12"/>
  <c r="BR180" i="12"/>
  <c r="BT180" i="12"/>
  <c r="BL181" i="12"/>
  <c r="BP181" i="12"/>
  <c r="BR181" i="12"/>
  <c r="BT181" i="12"/>
  <c r="BL182" i="12"/>
  <c r="BP182" i="12"/>
  <c r="BR182" i="12"/>
  <c r="BT182" i="12"/>
  <c r="N183" i="12"/>
  <c r="P183" i="12"/>
  <c r="R183" i="12"/>
  <c r="T183" i="12"/>
  <c r="V183" i="12"/>
  <c r="X183" i="12"/>
  <c r="Z183" i="12"/>
  <c r="AB183" i="12"/>
  <c r="AD183" i="12"/>
  <c r="AF183" i="12"/>
  <c r="AH183" i="12"/>
  <c r="AJ183" i="12"/>
  <c r="AL183" i="12"/>
  <c r="AN183" i="12"/>
  <c r="AP183" i="12"/>
  <c r="AR183" i="12"/>
  <c r="AT183" i="12"/>
  <c r="AV183" i="12"/>
  <c r="AX183" i="12"/>
  <c r="AZ183" i="12"/>
  <c r="BB183" i="12"/>
  <c r="BD183" i="12"/>
  <c r="BF183" i="12"/>
  <c r="BH183" i="12"/>
  <c r="BJ183" i="12"/>
  <c r="BL183" i="12"/>
  <c r="BN183" i="12"/>
  <c r="BP183" i="12"/>
  <c r="BR183" i="12"/>
  <c r="BT183" i="12"/>
  <c r="BL185" i="12"/>
  <c r="BP185" i="12"/>
  <c r="BR185" i="12"/>
  <c r="BT185" i="12"/>
  <c r="BL187" i="12"/>
  <c r="BP187" i="12"/>
  <c r="BR187" i="12"/>
  <c r="BT187" i="12"/>
  <c r="BL190" i="12"/>
  <c r="BP190" i="12"/>
  <c r="BR190" i="12"/>
  <c r="BT190" i="12"/>
  <c r="AR191" i="12"/>
  <c r="BL191" i="12"/>
  <c r="BP191" i="12"/>
  <c r="BR191" i="12"/>
  <c r="BT191" i="12"/>
  <c r="BL192" i="12"/>
  <c r="BP192" i="12"/>
  <c r="BR192" i="12"/>
  <c r="BT192" i="12"/>
  <c r="P193" i="12"/>
  <c r="R193" i="12"/>
  <c r="AF193" i="12"/>
  <c r="AH193" i="12"/>
  <c r="AN193" i="12"/>
  <c r="AP193" i="12"/>
  <c r="AR193" i="12"/>
  <c r="BL193" i="12"/>
  <c r="BP193" i="12"/>
  <c r="BR193" i="12"/>
  <c r="BT193" i="12"/>
  <c r="AR194" i="12"/>
  <c r="BL194" i="12"/>
  <c r="BP194" i="12"/>
  <c r="BR194" i="12"/>
  <c r="BT194" i="12"/>
  <c r="AF195" i="12"/>
  <c r="AH195" i="12"/>
  <c r="BL195" i="12"/>
  <c r="BP195" i="12"/>
  <c r="BR195" i="12"/>
  <c r="BT195" i="12"/>
  <c r="N196" i="12"/>
  <c r="P196" i="12"/>
  <c r="R196" i="12"/>
  <c r="S196" i="12"/>
  <c r="T196" i="12"/>
  <c r="U196" i="12"/>
  <c r="V196" i="12"/>
  <c r="W196" i="12"/>
  <c r="X196" i="12"/>
  <c r="Y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C196" i="12"/>
  <c r="BD196" i="12"/>
  <c r="BE196" i="12"/>
  <c r="BF196" i="12"/>
  <c r="BG196" i="12"/>
  <c r="BH196" i="12"/>
  <c r="BI196" i="12"/>
  <c r="BJ196" i="12"/>
  <c r="BK196" i="12"/>
  <c r="BL196" i="12"/>
  <c r="BM196" i="12"/>
  <c r="BN196" i="12"/>
  <c r="BO196" i="12"/>
  <c r="BP196" i="12"/>
  <c r="BQ196" i="12"/>
  <c r="BR196" i="12"/>
  <c r="BS196" i="12"/>
  <c r="BT196" i="12"/>
  <c r="P199" i="12"/>
  <c r="BL199" i="12"/>
  <c r="BP199" i="12"/>
  <c r="BR199" i="12"/>
  <c r="BT199" i="12"/>
  <c r="BL200" i="12"/>
  <c r="BP200" i="12"/>
  <c r="BR200" i="12"/>
  <c r="BT200" i="12"/>
  <c r="BL201" i="12"/>
  <c r="BP201" i="12"/>
  <c r="BR201" i="12"/>
  <c r="BT201" i="12"/>
  <c r="N202" i="12"/>
  <c r="O202" i="12"/>
  <c r="P202" i="12"/>
  <c r="Q202" i="12"/>
  <c r="R202" i="12"/>
  <c r="T202" i="12"/>
  <c r="V202" i="12"/>
  <c r="X202" i="12"/>
  <c r="Z202" i="12"/>
  <c r="AB202" i="12"/>
  <c r="AD202" i="12"/>
  <c r="AF202" i="12"/>
  <c r="AH202" i="12"/>
  <c r="AJ202" i="12"/>
  <c r="AL202" i="12"/>
  <c r="AN202" i="12"/>
  <c r="AP202" i="12"/>
  <c r="AR202" i="12"/>
  <c r="AT202" i="12"/>
  <c r="AV202" i="12"/>
  <c r="AX202" i="12"/>
  <c r="AZ202" i="12"/>
  <c r="BB202" i="12"/>
  <c r="BD202" i="12"/>
  <c r="BF202" i="12"/>
  <c r="BH202" i="12"/>
  <c r="BJ202" i="12"/>
  <c r="BL202" i="12"/>
  <c r="BN202" i="12"/>
  <c r="BP202" i="12"/>
  <c r="BR202" i="12"/>
  <c r="BT202" i="12"/>
  <c r="P204" i="12"/>
  <c r="R204" i="12"/>
  <c r="AJ204" i="12"/>
  <c r="AL204" i="12"/>
  <c r="AP204" i="12"/>
  <c r="BL204" i="12"/>
  <c r="BP204" i="12"/>
  <c r="BR204" i="12"/>
  <c r="BT204" i="12"/>
  <c r="R206" i="12"/>
  <c r="S206" i="12"/>
  <c r="T206" i="12"/>
  <c r="U206" i="12"/>
  <c r="V206" i="12"/>
  <c r="W206" i="12"/>
  <c r="X206" i="12"/>
  <c r="Y206" i="12"/>
  <c r="Z206" i="12"/>
  <c r="AA206" i="12"/>
  <c r="AB206" i="12"/>
  <c r="AC206" i="12"/>
  <c r="AD206" i="12"/>
  <c r="AF206" i="12"/>
  <c r="AH206" i="12"/>
  <c r="AJ206" i="12"/>
  <c r="AL206" i="12"/>
  <c r="AN206" i="12"/>
  <c r="AO206" i="12"/>
  <c r="AP206" i="12"/>
  <c r="AQ206" i="12"/>
  <c r="AR206" i="12"/>
  <c r="AS206" i="12"/>
  <c r="AT206" i="12"/>
  <c r="AU206" i="12"/>
  <c r="AV206" i="12"/>
  <c r="AW206" i="12"/>
  <c r="AX206" i="12"/>
  <c r="AY206" i="12"/>
  <c r="AZ206" i="12"/>
  <c r="BA206" i="12"/>
  <c r="BB206" i="12"/>
  <c r="BC206" i="12"/>
  <c r="BD206" i="12"/>
  <c r="BE206" i="12"/>
  <c r="BF206" i="12"/>
  <c r="BG206" i="12"/>
  <c r="BH206" i="12"/>
  <c r="BI206" i="12"/>
  <c r="BJ206" i="12"/>
  <c r="BK206" i="12"/>
  <c r="BL206" i="12"/>
  <c r="BM206" i="12"/>
  <c r="BN206" i="12"/>
  <c r="BO206" i="12"/>
  <c r="BP206" i="12"/>
  <c r="BQ206" i="12"/>
  <c r="BR206" i="12"/>
  <c r="BS206" i="12"/>
  <c r="BT206" i="12"/>
  <c r="BU206" i="12"/>
  <c r="P208" i="12"/>
  <c r="BL208" i="12"/>
  <c r="BP208" i="12"/>
  <c r="BR208" i="12"/>
  <c r="BT208" i="12"/>
  <c r="R211" i="12"/>
  <c r="S211" i="12"/>
  <c r="T211" i="12"/>
  <c r="U211" i="12"/>
  <c r="V211" i="12"/>
  <c r="W211" i="12"/>
  <c r="X211" i="12"/>
  <c r="Y211" i="12"/>
  <c r="Z211" i="12"/>
  <c r="AA211" i="12"/>
  <c r="AB211" i="12"/>
  <c r="AC211" i="12"/>
  <c r="AD211" i="12"/>
  <c r="AF211" i="12"/>
  <c r="AH211" i="12"/>
  <c r="AJ211" i="12"/>
  <c r="AL211" i="12"/>
  <c r="AN211" i="12"/>
  <c r="AO211" i="12"/>
  <c r="AP211" i="12"/>
  <c r="AQ211" i="12"/>
  <c r="AR211" i="12"/>
  <c r="AS211" i="12"/>
  <c r="AT211" i="12"/>
  <c r="AU211" i="12"/>
  <c r="AV211" i="12"/>
  <c r="AW211" i="12"/>
  <c r="AX211" i="12"/>
  <c r="AY211" i="12"/>
  <c r="AZ211" i="12"/>
  <c r="BA211" i="12"/>
  <c r="BB211" i="12"/>
  <c r="BC211" i="12"/>
  <c r="BD211" i="12"/>
  <c r="BE211" i="12"/>
  <c r="BF211" i="12"/>
  <c r="BG211" i="12"/>
  <c r="BH211" i="12"/>
  <c r="BI211" i="12"/>
  <c r="BJ211" i="12"/>
  <c r="BK211" i="12"/>
  <c r="BL211" i="12"/>
  <c r="BM211" i="12"/>
  <c r="BN211" i="12"/>
  <c r="BO211" i="12"/>
  <c r="BP211" i="12"/>
  <c r="BQ211" i="12"/>
  <c r="BR211" i="12"/>
  <c r="BS211" i="12"/>
  <c r="BT211" i="12"/>
  <c r="BR212" i="12"/>
  <c r="P214" i="12"/>
  <c r="AB214" i="12"/>
  <c r="BL214" i="12"/>
  <c r="BP214" i="12"/>
  <c r="BR214" i="12"/>
  <c r="AJ216" i="12"/>
  <c r="BL216" i="12"/>
  <c r="BP216" i="12"/>
  <c r="BR216" i="12"/>
  <c r="AD218" i="12"/>
  <c r="AJ218" i="12"/>
  <c r="AN218" i="12"/>
  <c r="AP218" i="12"/>
  <c r="BL218" i="12"/>
  <c r="BR218" i="12"/>
  <c r="R220" i="12"/>
  <c r="S220" i="12"/>
  <c r="T220" i="12"/>
  <c r="U220" i="12"/>
  <c r="V220" i="12"/>
  <c r="W220" i="12"/>
  <c r="X220" i="12"/>
  <c r="Y220" i="12"/>
  <c r="Z220" i="12"/>
  <c r="AA220" i="12"/>
  <c r="AB220" i="12"/>
  <c r="AC220" i="12"/>
  <c r="AD220" i="12"/>
  <c r="AF220" i="12"/>
  <c r="AH220" i="12"/>
  <c r="AJ220" i="12"/>
  <c r="AL220" i="12"/>
  <c r="AN220" i="12"/>
  <c r="AO220" i="12"/>
  <c r="AP220" i="12"/>
  <c r="AQ220" i="12"/>
  <c r="AR220" i="12"/>
  <c r="AS220" i="12"/>
  <c r="AT220" i="12"/>
  <c r="AU220" i="12"/>
  <c r="AV220" i="12"/>
  <c r="AW220" i="12"/>
  <c r="AX220" i="12"/>
  <c r="AY220" i="12"/>
  <c r="AZ220" i="12"/>
  <c r="BA220" i="12"/>
  <c r="BB220" i="12"/>
  <c r="BC220" i="12"/>
  <c r="BD220" i="12"/>
  <c r="BE220" i="12"/>
  <c r="BF220" i="12"/>
  <c r="BG220" i="12"/>
  <c r="BH220" i="12"/>
  <c r="BI220" i="12"/>
  <c r="BJ220" i="12"/>
  <c r="BK220" i="12"/>
  <c r="BL220" i="12"/>
  <c r="BM220" i="12"/>
  <c r="BN220" i="12"/>
  <c r="BO220" i="12"/>
  <c r="BP220" i="12"/>
  <c r="BQ220" i="12"/>
  <c r="BR220" i="12"/>
  <c r="BS220" i="12"/>
  <c r="BT220" i="12"/>
  <c r="X224" i="12"/>
  <c r="AH224" i="12"/>
  <c r="BL224" i="12"/>
  <c r="BP224" i="12"/>
  <c r="BR224" i="12"/>
  <c r="X225" i="12"/>
  <c r="Z225" i="12"/>
  <c r="AD225" i="12"/>
  <c r="BL225" i="12"/>
  <c r="BP225" i="12"/>
  <c r="BR225" i="12"/>
  <c r="BL226" i="12"/>
  <c r="BP226" i="12"/>
  <c r="BR226" i="12"/>
  <c r="BL227" i="12"/>
  <c r="BP227" i="12"/>
  <c r="BR227" i="12"/>
  <c r="BP228" i="12"/>
  <c r="N229" i="12"/>
  <c r="P229" i="12"/>
  <c r="R229" i="12"/>
  <c r="T229" i="12"/>
  <c r="V229" i="12"/>
  <c r="X229" i="12"/>
  <c r="Z229" i="12"/>
  <c r="AA229" i="12"/>
  <c r="AB229" i="12"/>
  <c r="AC229" i="12"/>
  <c r="AD229" i="12"/>
  <c r="AF229" i="12"/>
  <c r="AH229" i="12"/>
  <c r="AJ229" i="12"/>
  <c r="AL229" i="12"/>
  <c r="AN229" i="12"/>
  <c r="AO229" i="12"/>
  <c r="AP229" i="12"/>
  <c r="AQ229" i="12"/>
  <c r="AR229" i="12"/>
  <c r="AS229" i="12"/>
  <c r="AT229" i="12"/>
  <c r="AU229" i="12"/>
  <c r="AV229" i="12"/>
  <c r="AW229" i="12"/>
  <c r="AX229" i="12"/>
  <c r="AY229" i="12"/>
  <c r="AZ229" i="12"/>
  <c r="BA229" i="12"/>
  <c r="BB229" i="12"/>
  <c r="BC229" i="12"/>
  <c r="BD229" i="12"/>
  <c r="BE229" i="12"/>
  <c r="BF229" i="12"/>
  <c r="BG229" i="12"/>
  <c r="BH229" i="12"/>
  <c r="BI229" i="12"/>
  <c r="BJ229" i="12"/>
  <c r="BK229" i="12"/>
  <c r="BL229" i="12"/>
  <c r="BP229" i="12"/>
  <c r="BR229" i="12"/>
  <c r="N234" i="12"/>
  <c r="P234" i="12"/>
  <c r="R234" i="12"/>
  <c r="S234" i="12"/>
  <c r="T234" i="12"/>
  <c r="U234" i="12"/>
  <c r="V234" i="12"/>
  <c r="W234" i="12"/>
  <c r="X234" i="12"/>
  <c r="Y234" i="12"/>
  <c r="Z234" i="12"/>
  <c r="AA234" i="12"/>
  <c r="AB234" i="12"/>
  <c r="AC234" i="12"/>
  <c r="AD234" i="12"/>
  <c r="AF234" i="12"/>
  <c r="AH234" i="12"/>
  <c r="AJ234" i="12"/>
  <c r="AL234" i="12"/>
  <c r="AN234" i="12"/>
  <c r="AO234" i="12"/>
  <c r="AP234" i="12"/>
  <c r="AQ234" i="12"/>
  <c r="AR234" i="12"/>
  <c r="AS234" i="12"/>
  <c r="AT234" i="12"/>
  <c r="AU234" i="12"/>
  <c r="AV234" i="12"/>
  <c r="AW234" i="12"/>
  <c r="AX234" i="12"/>
  <c r="AY234" i="12"/>
  <c r="AZ234" i="12"/>
  <c r="BA234" i="12"/>
  <c r="BB234" i="12"/>
  <c r="BC234" i="12"/>
  <c r="BD234" i="12"/>
  <c r="BE234" i="12"/>
  <c r="BF234" i="12"/>
  <c r="BG234" i="12"/>
  <c r="BH234" i="12"/>
  <c r="BI234" i="12"/>
  <c r="BJ234" i="12"/>
  <c r="BK234" i="12"/>
  <c r="BL234" i="12"/>
  <c r="BM234" i="12"/>
  <c r="BN234" i="12"/>
  <c r="BO234" i="12"/>
  <c r="BP234" i="12"/>
  <c r="BQ234" i="12"/>
  <c r="BR234" i="12"/>
  <c r="BS234" i="12"/>
  <c r="BT234" i="12"/>
  <c r="K13" i="18"/>
  <c r="K14" i="18"/>
  <c r="K15" i="18"/>
  <c r="K16" i="18"/>
  <c r="K17" i="18"/>
  <c r="K18" i="18"/>
  <c r="K19" i="18"/>
  <c r="K20" i="18"/>
  <c r="K21" i="18"/>
  <c r="K22" i="18"/>
  <c r="K23" i="18"/>
  <c r="K25" i="18"/>
  <c r="K27" i="18"/>
  <c r="K28" i="18"/>
  <c r="K30" i="18"/>
  <c r="G34" i="18"/>
  <c r="H34" i="18"/>
  <c r="I34" i="18"/>
  <c r="J34" i="18"/>
  <c r="K34" i="18"/>
  <c r="G35" i="18"/>
  <c r="H35" i="18"/>
  <c r="I35" i="18"/>
  <c r="J35" i="18"/>
  <c r="K35" i="18"/>
  <c r="G36" i="18"/>
  <c r="H36" i="18"/>
  <c r="I36" i="18"/>
  <c r="J36" i="18"/>
  <c r="K36" i="18"/>
  <c r="G37" i="18"/>
  <c r="H37" i="18"/>
  <c r="I37" i="18"/>
  <c r="J37" i="18"/>
  <c r="K37" i="18"/>
  <c r="G38" i="18"/>
  <c r="H38" i="18"/>
  <c r="I38" i="18"/>
  <c r="J38" i="18"/>
  <c r="K38" i="18"/>
  <c r="H43" i="18"/>
  <c r="H45" i="18"/>
  <c r="H47" i="18"/>
  <c r="H49"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<sst xmlns="http://schemas.openxmlformats.org/spreadsheetml/2006/main" count="2040" uniqueCount="512">
  <si>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</si>
  <si>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</si>
  <si>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</si>
  <si>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</si>
  <si>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</si>
  <si>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</si>
  <si>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</si>
  <si>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</si>
  <si>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</si>
  <si>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</si>
  <si>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</si>
  <si>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</si>
  <si>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</si>
  <si>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</si>
  <si>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</si>
  <si>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</si>
  <si>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</si>
  <si>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</si>
  <si>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</si>
  <si>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</si>
  <si>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</si>
  <si>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</si>
  <si>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</si>
  <si>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</si>
  <si>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</si>
  <si>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</si>
  <si>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</si>
  <si>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</si>
  <si>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</si>
  <si>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</si>
  <si>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</si>
  <si>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</si>
  <si>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</si>
  <si>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</si>
  <si>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</si>
  <si>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</si>
  <si>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</si>
  <si>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</si>
  <si>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</si>
  <si>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</si>
  <si>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</si>
  <si>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</si>
  <si>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</si>
  <si>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</si>
  <si>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</si>
  <si>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</si>
  <si>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</si>
  <si>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</si>
  <si>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</si>
  <si>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</si>
  <si>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</si>
  <si>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</si>
  <si>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</si>
  <si>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</si>
  <si>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</si>
  <si>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</si>
  <si>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</si>
  <si>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</si>
  <si>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</si>
  <si>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</si>
  <si>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</si>
  <si>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</si>
  <si>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</si>
  <si>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</si>
  <si>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</si>
  <si>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</si>
  <si>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</si>
  <si>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</si>
  <si>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</si>
  <si>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</si>
  <si>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</si>
  <si>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</si>
  <si>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</si>
  <si>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</si>
  <si>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</si>
  <si>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</si>
  <si>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</si>
  <si>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</si>
  <si>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</si>
  <si>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</si>
  <si>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</si>
  <si>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</si>
  <si>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</si>
  <si>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</si>
  <si>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</si>
  <si>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</si>
  <si>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</si>
  <si>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</si>
  <si>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</si>
  <si>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</si>
  <si>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</si>
  <si>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</si>
  <si>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</si>
  <si>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</si>
  <si>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</si>
  <si>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</si>
  <si>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</si>
  <si>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</si>
  <si>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</si>
  <si>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</si>
  <si>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</si>
  <si>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</si>
  <si>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</si>
  <si>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</si>
  <si>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</si>
  <si>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</si>
  <si>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</si>
  <si>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</si>
  <si>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</si>
  <si>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</si>
  <si>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</si>
  <si>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</si>
  <si>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</si>
  <si>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</si>
  <si>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</si>
  <si>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</si>
  <si>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</si>
  <si>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</si>
  <si>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</si>
  <si>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</si>
  <si>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</si>
  <si>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</si>
  <si>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</si>
  <si>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</si>
  <si>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</si>
  <si>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</si>
  <si>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</si>
  <si>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</si>
  <si>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</si>
  <si>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</si>
  <si>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</si>
  <si>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</si>
  <si>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</si>
  <si>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</si>
  <si>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</si>
  <si>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</si>
  <si>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</si>
  <si>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</si>
  <si>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</si>
  <si>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</si>
  <si>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</si>
  <si>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</si>
  <si>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</si>
  <si>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</si>
  <si>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</si>
  <si>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</si>
  <si>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</si>
  <si>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</si>
  <si>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</si>
  <si>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</si>
  <si>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</si>
  <si>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</si>
  <si>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</si>
  <si>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</si>
  <si>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</si>
  <si>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</si>
  <si>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</si>
  <si>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</si>
  <si>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</si>
  <si>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</si>
  <si>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</si>
  <si>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</si>
  <si>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</si>
  <si>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</si>
  <si>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</si>
  <si>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</si>
  <si>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</si>
  <si>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</si>
  <si>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</si>
  <si>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</si>
  <si>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</si>
  <si>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</si>
  <si>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</si>
  <si>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</si>
  <si>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</si>
  <si>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</si>
  <si>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</si>
  <si>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</si>
  <si>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</si>
  <si>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</si>
  <si>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</si>
  <si>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</si>
  <si>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</si>
  <si>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</si>
  <si>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</si>
  <si>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</si>
  <si>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</si>
  <si>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</si>
  <si>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</si>
  <si>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</si>
  <si>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</si>
  <si>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</si>
  <si>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</si>
  <si>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</si>
  <si>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</si>
  <si>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</si>
  <si>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</si>
  <si>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</si>
  <si>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</si>
  <si>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</si>
  <si>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</si>
  <si>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</si>
  <si>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</si>
  <si>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</si>
  <si>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</si>
  <si>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</si>
  <si>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</si>
  <si>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</si>
  <si>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</si>
  <si>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</si>
  <si>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</si>
  <si>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</si>
  <si>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</si>
  <si>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</si>
  <si>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</si>
  <si>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</si>
  <si>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</si>
  <si>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</si>
  <si>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</si>
  <si>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</si>
  <si>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</si>
  <si>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</si>
  <si>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</si>
  <si>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</si>
  <si>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</si>
  <si>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</si>
  <si>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</si>
  <si>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</si>
  <si>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</si>
  <si>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</si>
  <si>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</si>
  <si>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</si>
  <si>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</si>
  <si>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</si>
  <si>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</si>
  <si>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</si>
  <si>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</si>
  <si>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</si>
  <si>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</si>
  <si>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</si>
  <si>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</si>
  <si>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</si>
  <si>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</si>
  <si>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</si>
  <si>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</si>
  <si>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</si>
  <si>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</si>
  <si>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</si>
  <si>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</si>
  <si>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</si>
  <si>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</si>
  <si>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</si>
  <si>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</si>
  <si>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</si>
  <si>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</si>
  <si>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</si>
  <si>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</si>
  <si>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</si>
  <si>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</si>
  <si>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</si>
  <si>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</si>
  <si>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</si>
  <si>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</si>
  <si>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</si>
  <si>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</si>
  <si>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</si>
  <si>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</si>
  <si>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</si>
  <si>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</si>
  <si>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</si>
  <si>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</si>
  <si>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</si>
  <si>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</si>
  <si>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</si>
  <si>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</si>
  <si>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</si>
  <si>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</si>
  <si>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</si>
  <si>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</si>
  <si>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</si>
  <si>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</si>
  <si>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</si>
  <si>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</si>
  <si>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</si>
  <si>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</si>
  <si>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</si>
  <si>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</si>
  <si>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</si>
  <si>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</si>
  <si>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</si>
  <si>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</si>
  <si>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</si>
  <si>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</si>
  <si>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</si>
  <si>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</si>
  <si>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</si>
  <si>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</si>
  <si>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</si>
  <si>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</si>
  <si>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</si>
  <si>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</si>
  <si>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</si>
  <si>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</si>
  <si>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</si>
  <si>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</si>
  <si>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</si>
  <si>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</si>
  <si>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</si>
  <si>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</si>
  <si>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</si>
  <si>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</si>
  <si>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</si>
  <si>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</si>
  <si>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</si>
  <si>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</si>
  <si>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</si>
  <si>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</si>
  <si>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</si>
  <si>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</si>
  <si>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</si>
  <si>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</si>
  <si>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</si>
  <si>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</si>
  <si>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</si>
  <si>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</si>
  <si>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</si>
  <si>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</si>
  <si>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</si>
  <si>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</si>
  <si>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</si>
  <si>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</si>
  <si>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</si>
  <si>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</si>
  <si>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</si>
  <si>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</si>
  <si>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</si>
  <si>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</si>
  <si>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</si>
  <si>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</si>
  <si>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</si>
  <si>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</si>
  <si>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</si>
  <si>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</si>
  <si>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</si>
  <si>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</si>
  <si>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</si>
  <si>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</si>
  <si>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</si>
  <si>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</si>
  <si>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</si>
  <si>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</si>
  <si>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</si>
  <si>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</si>
  <si>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</si>
  <si>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</si>
  <si>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</si>
  <si>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</si>
  <si>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</si>
  <si>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</si>
  <si>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</si>
  <si>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</si>
  <si>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</si>
  <si>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</si>
  <si>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</si>
  <si>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</si>
  <si>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</si>
  <si>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</si>
  <si>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</si>
  <si>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</si>
  <si>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</si>
  <si>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</si>
  <si>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</si>
  <si>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</si>
  <si>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</si>
  <si>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</si>
  <si>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</si>
  <si>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</si>
  <si>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</si>
  <si>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</si>
  <si>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</si>
  <si>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Misc</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</si>
  <si>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</si>
  <si>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</si>
  <si>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</si>
  <si>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</si>
  <si>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</si>
  <si>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</si>
  <si>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</si>
  <si>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</si>
  <si>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</si>
  <si>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</si>
  <si>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</si>
  <si>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</si>
  <si>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</si>
  <si>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</si>
  <si>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</si>
  <si>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</si>
  <si>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</si>
  <si>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</si>
  <si>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</si>
  <si>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</si>
  <si>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</si>
  <si>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</si>
  <si>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</si>
  <si>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</si>
  <si>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</si>
  <si>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</si>
  <si>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</si>
  <si>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</si>
  <si>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</si>
  <si>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</si>
  <si>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</si>
  <si>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</si>
  <si>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Adjustment for accelerated labor costs</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</si>
  <si>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</si>
  <si>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</si>
  <si>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</si>
  <si>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</si>
  <si>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</si>
  <si>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</si>
  <si>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</si>
  <si>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</si>
  <si>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</si>
  <si>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</si>
  <si>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</si>
  <si>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</si>
  <si>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</si>
  <si>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</si>
  <si>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</si>
  <si>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</si>
  <si>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</si>
  <si>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</si>
  <si>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</si>
  <si>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</si>
  <si>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</si>
  <si>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</si>
  <si>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</si>
  <si>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</si>
  <si>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</si>
  <si>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</si>
  <si>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</si>
  <si>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t>Total Change Orders - LINCOLN</t>
  </si>
  <si>
    <r>
      <t xml:space="preserve">ENA has  </t>
    </r>
    <r>
      <rPr>
        <b/>
        <sz val="12"/>
        <rFont val="Arial"/>
        <family val="2"/>
      </rPr>
      <t xml:space="preserve">APPROVED </t>
    </r>
  </si>
  <si>
    <t>Increase in Forecast that is not a scope change</t>
  </si>
  <si>
    <t>Waiting on detail from NEPCO/EECC</t>
  </si>
  <si>
    <t>Total NEPCO Increase in Forecast</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</si>
  <si>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</si>
  <si>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</si>
  <si>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</si>
  <si>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</si>
  <si>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</si>
  <si>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</si>
  <si>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</si>
  <si>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</si>
  <si>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</si>
  <si>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</si>
  <si>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</si>
  <si>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</si>
  <si>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</si>
  <si>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</si>
  <si>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</si>
  <si>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</si>
  <si>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</si>
  <si>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 xml:space="preserve">Dave Kristich has asked that Change Orders 2-4 be revised </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</si>
  <si>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</si>
  <si>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</si>
  <si>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</si>
  <si>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</si>
  <si>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</si>
  <si>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</si>
  <si>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</si>
  <si>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</si>
  <si>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</si>
  <si>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</si>
  <si>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</si>
  <si>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</si>
  <si>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</si>
  <si>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</si>
  <si>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</si>
  <si>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</si>
  <si>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</si>
  <si>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</si>
  <si>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</si>
  <si>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</si>
  <si>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</si>
  <si>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</si>
  <si>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</si>
  <si>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</si>
  <si>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</si>
  <si>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Dave Kristich has approved change orders 5-10.  Waiting on Completed Change Orders.</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</si>
  <si>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</si>
  <si>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</si>
  <si>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</si>
  <si>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</si>
  <si>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</si>
  <si>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</si>
  <si>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</si>
  <si>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</si>
  <si>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</si>
  <si>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</si>
  <si>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</si>
  <si>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</si>
  <si>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</si>
  <si>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</si>
  <si>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</si>
  <si>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Revision # 38</t>
  </si>
  <si>
    <t xml:space="preserve"> As of 12/10/1999</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</si>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</sst>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88">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1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3" fillId="0" borderId="5" xfId="0" applyFont="1" applyBorder="1"/>
    <xf numFmtId="6" fontId="3" fillId="0" borderId="5" xfId="0" applyNumberFormat="1" applyFont="1" applyBorder="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 xfId="0" applyFont="1" applyFill="1" applyBorder="1" applyAlignment="1">
      <alignment horizontal="center"/>
    </xf>
    <xf numFmtId="15" fontId="32" fillId="2" borderId="3" xfId="0" applyNumberFormat="1" applyFont="1" applyFill="1" applyBorder="1" applyAlignment="1">
      <alignment horizontal="center"/>
    </xf>
    <xf numFmtId="6" fontId="32" fillId="2" borderId="3" xfId="0" applyNumberFormat="1" applyFont="1" applyFill="1" applyBorder="1"/>
    <xf numFmtId="6" fontId="32" fillId="2" borderId="3" xfId="0" applyNumberFormat="1" applyFont="1" applyFill="1" applyBorder="1" applyAlignment="1">
      <alignment horizontal="right"/>
    </xf>
    <xf numFmtId="0" fontId="32" fillId="2" borderId="9" xfId="0" applyFont="1" applyFill="1" applyBorder="1" applyAlignment="1"/>
    <xf numFmtId="0" fontId="32" fillId="2" borderId="39" xfId="0" applyFont="1" applyFill="1" applyBorder="1"/>
    <xf numFmtId="0" fontId="0" fillId="2" borderId="9" xfId="0" applyFill="1" applyBorder="1"/>
    <xf numFmtId="0" fontId="32" fillId="2" borderId="32" xfId="0" applyFont="1" applyFill="1" applyBorder="1" applyAlignment="1">
      <alignment horizontal="center" vertical="center"/>
    </xf>
    <xf numFmtId="0" fontId="32" fillId="2" borderId="40" xfId="0" applyFont="1" applyFill="1" applyBorder="1" applyAlignment="1"/>
    <xf numFmtId="0" fontId="32" fillId="2" borderId="13" xfId="0" applyFont="1" applyFill="1" applyBorder="1"/>
    <xf numFmtId="0" fontId="32" fillId="2" borderId="4" xfId="0" applyFont="1" applyFill="1" applyBorder="1" applyAlignment="1"/>
    <xf numFmtId="0" fontId="32" fillId="2" borderId="37" xfId="0" applyFont="1" applyFill="1" applyBorder="1"/>
    <xf numFmtId="0" fontId="0" fillId="2" borderId="4" xfId="0" applyFill="1" applyBorder="1"/>
    <xf numFmtId="0" fontId="0" fillId="2" borderId="0" xfId="0" applyFill="1" applyBorder="1"/>
    <xf numFmtId="0" fontId="32" fillId="2" borderId="41" xfId="0" applyFont="1" applyFill="1" applyBorder="1" applyAlignment="1">
      <alignment horizontal="center"/>
    </xf>
    <xf numFmtId="15" fontId="32" fillId="2" borderId="40" xfId="0" applyNumberFormat="1" applyFont="1" applyFill="1" applyBorder="1" applyAlignment="1">
      <alignment horizontal="center"/>
    </xf>
    <xf numFmtId="0" fontId="32" fillId="2" borderId="40" xfId="0" applyFont="1" applyFill="1" applyBorder="1" applyAlignment="1">
      <alignment horizontal="center"/>
    </xf>
    <xf numFmtId="6" fontId="32" fillId="2" borderId="40" xfId="0" applyNumberFormat="1" applyFont="1" applyFill="1" applyBorder="1"/>
    <xf numFmtId="6" fontId="32" fillId="2" borderId="40" xfId="0" applyNumberFormat="1" applyFont="1" applyFill="1" applyBorder="1" applyAlignment="1">
      <alignment horizontal="right"/>
    </xf>
    <xf numFmtId="0" fontId="32" fillId="2" borderId="42" xfId="0" applyFont="1" applyFill="1" applyBorder="1"/>
    <xf numFmtId="0" fontId="32" fillId="2" borderId="4" xfId="0" applyFont="1" applyFill="1" applyBorder="1" applyAlignment="1">
      <alignment horizontal="center"/>
    </xf>
    <xf numFmtId="6" fontId="32" fillId="2" borderId="4" xfId="0" applyNumberFormat="1" applyFont="1" applyFill="1" applyBorder="1"/>
    <xf numFmtId="6" fontId="32" fillId="2" borderId="4" xfId="0" applyNumberFormat="1" applyFont="1" applyFill="1" applyBorder="1" applyAlignment="1">
      <alignment horizontal="right"/>
    </xf>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2" borderId="43" xfId="0" applyFont="1" applyFill="1" applyBorder="1" applyAlignment="1">
      <alignment horizontal="center"/>
    </xf>
    <xf numFmtId="15" fontId="32" fillId="2" borderId="4" xfId="0" applyNumberFormat="1" applyFont="1" applyFill="1" applyBorder="1" applyAlignment="1">
      <alignment horizont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32" fillId="2" borderId="7" xfId="0" applyFont="1" applyFill="1" applyBorder="1" applyAlignment="1">
      <alignment vertical="center" wrapText="1"/>
    </xf>
    <xf numFmtId="0" fontId="85" fillId="7" borderId="3" xfId="0" applyFont="1" applyFill="1" applyBorder="1" applyAlignment="1">
      <alignment wrapText="1"/>
    </xf>
    <xf numFmtId="0" fontId="85" fillId="2" borderId="3" xfId="0" applyFont="1" applyFill="1" applyBorder="1" applyAlignment="1">
      <alignment wrapText="1"/>
    </xf>
    <xf numFmtId="0" fontId="85" fillId="2" borderId="7" xfId="0" applyFont="1" applyFill="1" applyBorder="1" applyAlignment="1">
      <alignment wrapText="1"/>
    </xf>
    <xf numFmtId="0" fontId="85" fillId="2" borderId="8"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1</xdr:col>
          <xdr:colOff>9525</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4CD55A4C-6C30-1A17-F7D5-20F50F2D4F18}"/>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DE9B7C56-8A65-527E-B970-9A418B69E91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799BCFD9-D5F7-836E-1762-C6E214993DA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1214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38">
          <cell r="K38">
            <v>463711.37538870639</v>
          </cell>
          <cell r="L38">
            <v>505639.68570277008</v>
          </cell>
          <cell r="N38">
            <v>663422.29387704656</v>
          </cell>
          <cell r="V38">
            <v>12592782.083461734</v>
          </cell>
        </row>
        <row r="39">
          <cell r="V39">
            <v>0</v>
          </cell>
        </row>
      </sheetData>
      <sheetData sheetId="4">
        <row r="39">
          <cell r="M39">
            <v>505668.93</v>
          </cell>
          <cell r="N39">
            <v>517447.92267638887</v>
          </cell>
          <cell r="O39">
            <v>557933.42322977481</v>
          </cell>
          <cell r="W39">
            <v>11378560.271158326</v>
          </cell>
        </row>
      </sheetData>
      <sheetData sheetId="5">
        <row r="39">
          <cell r="I39">
            <v>431577.41862083337</v>
          </cell>
          <cell r="J39">
            <v>437225.48213836289</v>
          </cell>
          <cell r="K39">
            <v>445286.67641661229</v>
          </cell>
          <cell r="L39">
            <v>454783</v>
          </cell>
          <cell r="M39">
            <v>462626.31550692458</v>
          </cell>
          <cell r="N39">
            <v>491955.34096592036</v>
          </cell>
          <cell r="V39">
            <v>9897138.3755760584</v>
          </cell>
        </row>
        <row r="40">
          <cell r="V4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118</v>
      </c>
    </row>
    <row r="2" spans="1:11" ht="15.75">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50"/>
  <sheetViews>
    <sheetView showGridLines="0" zoomScale="75" zoomScaleNormal="75" zoomScaleSheetLayoutView="75" workbookViewId="0">
      <pane xSplit="1" ySplit="9" topLeftCell="B10" activePane="bottomRight" state="frozen"/>
      <selection activeCell="G4" sqref="G4"/>
      <selection pane="topRight" activeCell="G4" sqref="G4"/>
      <selection pane="bottomLeft" activeCell="G4" sqref="G4"/>
      <selection pane="bottomRight" activeCell="L10" sqref="L10"/>
    </sheetView>
  </sheetViews>
  <sheetFormatPr defaultRowHeight="12.75"/>
  <cols>
    <col min="1" max="1" width="12.4257812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492</v>
      </c>
      <c r="N3" s="258"/>
    </row>
    <row r="4" spans="1:14" ht="26.25">
      <c r="A4" s="260"/>
      <c r="B4" s="260" t="s">
        <v>395</v>
      </c>
      <c r="C4" s="258"/>
      <c r="D4" s="258"/>
      <c r="E4" s="258"/>
      <c r="F4" s="258"/>
      <c r="G4" s="258"/>
      <c r="H4" s="261"/>
      <c r="I4" s="261"/>
      <c r="J4" s="261"/>
      <c r="K4" s="261"/>
      <c r="L4" s="258"/>
      <c r="M4" s="258"/>
      <c r="N4" s="258"/>
    </row>
    <row r="5" spans="1:14" ht="20.25">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410</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134.25" customHeight="1">
      <c r="A13" s="382" t="s">
        <v>411</v>
      </c>
      <c r="B13" s="386" t="s">
        <v>486</v>
      </c>
      <c r="C13" s="363" t="s">
        <v>232</v>
      </c>
      <c r="D13" s="364">
        <v>36383</v>
      </c>
      <c r="E13" s="364">
        <v>36383</v>
      </c>
      <c r="F13" s="363" t="s">
        <v>502</v>
      </c>
      <c r="G13" s="365"/>
      <c r="H13" s="365">
        <v>1225177</v>
      </c>
      <c r="I13" s="366">
        <v>0</v>
      </c>
      <c r="J13" s="366">
        <v>0</v>
      </c>
      <c r="K13" s="366">
        <f>SUM(G13:J13)</f>
        <v>1225177</v>
      </c>
      <c r="L13" s="363">
        <v>0</v>
      </c>
      <c r="M13" s="367" t="s">
        <v>413</v>
      </c>
      <c r="N13" s="338"/>
    </row>
    <row r="14" spans="1:14" s="346" customFormat="1" ht="15.75">
      <c r="A14" s="347" t="s">
        <v>414</v>
      </c>
      <c r="B14" s="387" t="s">
        <v>415</v>
      </c>
      <c r="C14" s="340" t="s">
        <v>232</v>
      </c>
      <c r="D14" s="341">
        <v>36383</v>
      </c>
      <c r="E14" s="341">
        <v>36383</v>
      </c>
      <c r="F14" s="340" t="s">
        <v>416</v>
      </c>
      <c r="G14" s="342"/>
      <c r="H14" s="342">
        <v>0</v>
      </c>
      <c r="I14" s="343">
        <v>0</v>
      </c>
      <c r="J14" s="343">
        <v>0</v>
      </c>
      <c r="K14" s="343">
        <f t="shared" ref="K14:K30" si="0">SUM(G14:J14)</f>
        <v>0</v>
      </c>
      <c r="L14" s="340">
        <v>0</v>
      </c>
      <c r="M14" s="344" t="s">
        <v>417</v>
      </c>
      <c r="N14" s="345"/>
    </row>
    <row r="15" spans="1:14" s="346" customFormat="1" ht="51.75" customHeight="1">
      <c r="A15" s="347" t="s">
        <v>418</v>
      </c>
      <c r="B15" s="387" t="s">
        <v>494</v>
      </c>
      <c r="C15" s="368" t="s">
        <v>232</v>
      </c>
      <c r="D15" s="369">
        <v>36383</v>
      </c>
      <c r="E15" s="369"/>
      <c r="F15" s="368" t="s">
        <v>419</v>
      </c>
      <c r="G15" s="370"/>
      <c r="H15" s="370">
        <v>714015</v>
      </c>
      <c r="I15" s="371">
        <v>0</v>
      </c>
      <c r="J15" s="371">
        <v>0</v>
      </c>
      <c r="K15" s="371">
        <f t="shared" si="0"/>
        <v>714015</v>
      </c>
      <c r="L15" s="368">
        <v>0</v>
      </c>
      <c r="M15" s="372" t="s">
        <v>420</v>
      </c>
      <c r="N15" s="345"/>
    </row>
    <row r="16" spans="1:14" s="353" customFormat="1" ht="102.75" customHeight="1">
      <c r="A16" s="385" t="s">
        <v>493</v>
      </c>
      <c r="B16" s="388" t="s">
        <v>495</v>
      </c>
      <c r="C16" s="354" t="s">
        <v>232</v>
      </c>
      <c r="D16" s="355">
        <v>36383</v>
      </c>
      <c r="E16" s="355"/>
      <c r="F16" s="356" t="s">
        <v>419</v>
      </c>
      <c r="G16" s="357"/>
      <c r="H16" s="357">
        <v>3249323</v>
      </c>
      <c r="I16" s="358">
        <v>0</v>
      </c>
      <c r="J16" s="358">
        <v>0</v>
      </c>
      <c r="K16" s="358">
        <f t="shared" si="0"/>
        <v>3249323</v>
      </c>
      <c r="L16" s="356">
        <v>0</v>
      </c>
      <c r="M16" s="348" t="s">
        <v>421</v>
      </c>
      <c r="N16" s="359"/>
    </row>
    <row r="17" spans="1:14" s="352" customFormat="1" ht="31.5" customHeight="1">
      <c r="A17" s="349"/>
      <c r="B17" s="389" t="s">
        <v>484</v>
      </c>
      <c r="C17" s="373" t="s">
        <v>232</v>
      </c>
      <c r="D17" s="374">
        <v>36383</v>
      </c>
      <c r="E17" s="374"/>
      <c r="F17" s="360" t="s">
        <v>419</v>
      </c>
      <c r="G17" s="361"/>
      <c r="H17" s="361">
        <v>560292</v>
      </c>
      <c r="I17" s="362">
        <v>0</v>
      </c>
      <c r="J17" s="362">
        <v>0</v>
      </c>
      <c r="K17" s="362">
        <f t="shared" si="0"/>
        <v>560292</v>
      </c>
      <c r="L17" s="360">
        <v>0</v>
      </c>
      <c r="M17" s="350" t="s">
        <v>421</v>
      </c>
      <c r="N17" s="351"/>
    </row>
    <row r="18" spans="1:14" s="339" customFormat="1" ht="110.25">
      <c r="A18" s="382" t="s">
        <v>422</v>
      </c>
      <c r="B18" s="386" t="s">
        <v>485</v>
      </c>
      <c r="C18" s="375" t="s">
        <v>232</v>
      </c>
      <c r="D18" s="376">
        <v>36383</v>
      </c>
      <c r="E18" s="376">
        <v>36454</v>
      </c>
      <c r="F18" s="375" t="s">
        <v>416</v>
      </c>
      <c r="G18" s="377"/>
      <c r="H18" s="377">
        <v>796634</v>
      </c>
      <c r="I18" s="378">
        <v>0</v>
      </c>
      <c r="J18" s="378">
        <v>0</v>
      </c>
      <c r="K18" s="378">
        <f t="shared" si="0"/>
        <v>796634</v>
      </c>
      <c r="L18" s="375">
        <v>0</v>
      </c>
      <c r="M18" s="379"/>
      <c r="N18" s="338"/>
    </row>
    <row r="19" spans="1:14" s="339" customFormat="1" ht="78.75">
      <c r="A19" s="382" t="s">
        <v>423</v>
      </c>
      <c r="B19" s="386" t="s">
        <v>500</v>
      </c>
      <c r="C19" s="363" t="s">
        <v>232</v>
      </c>
      <c r="D19" s="364">
        <v>36383</v>
      </c>
      <c r="E19" s="364">
        <v>36454</v>
      </c>
      <c r="F19" s="363" t="s">
        <v>416</v>
      </c>
      <c r="G19" s="365"/>
      <c r="H19" s="365">
        <v>156452</v>
      </c>
      <c r="I19" s="366">
        <v>0</v>
      </c>
      <c r="J19" s="366">
        <v>0</v>
      </c>
      <c r="K19" s="366">
        <f t="shared" si="0"/>
        <v>156452</v>
      </c>
      <c r="L19" s="363">
        <v>0</v>
      </c>
      <c r="M19" s="367"/>
      <c r="N19" s="338"/>
    </row>
    <row r="20" spans="1:14" s="339" customFormat="1" ht="15.75">
      <c r="A20" s="383" t="s">
        <v>424</v>
      </c>
      <c r="B20" s="386" t="s">
        <v>425</v>
      </c>
      <c r="C20" s="333" t="s">
        <v>232</v>
      </c>
      <c r="D20" s="334">
        <v>36383</v>
      </c>
      <c r="E20" s="334">
        <v>36383</v>
      </c>
      <c r="F20" s="333" t="s">
        <v>416</v>
      </c>
      <c r="G20" s="335"/>
      <c r="H20" s="335">
        <v>0</v>
      </c>
      <c r="I20" s="336">
        <v>0</v>
      </c>
      <c r="J20" s="336">
        <v>0</v>
      </c>
      <c r="K20" s="396">
        <f t="shared" si="0"/>
        <v>0</v>
      </c>
      <c r="L20" s="333">
        <v>0</v>
      </c>
      <c r="M20" s="337" t="s">
        <v>417</v>
      </c>
      <c r="N20" s="338"/>
    </row>
    <row r="21" spans="1:14" s="339" customFormat="1" ht="94.5">
      <c r="A21" s="382" t="s">
        <v>426</v>
      </c>
      <c r="B21" s="386" t="s">
        <v>496</v>
      </c>
      <c r="C21" s="363" t="s">
        <v>232</v>
      </c>
      <c r="D21" s="364">
        <v>36383</v>
      </c>
      <c r="E21" s="364">
        <v>36454</v>
      </c>
      <c r="F21" s="363" t="s">
        <v>416</v>
      </c>
      <c r="G21" s="365"/>
      <c r="H21" s="365">
        <v>496034</v>
      </c>
      <c r="I21" s="366">
        <v>0</v>
      </c>
      <c r="J21" s="366">
        <v>0</v>
      </c>
      <c r="K21" s="397">
        <f t="shared" si="0"/>
        <v>496034</v>
      </c>
      <c r="L21" s="363">
        <v>0</v>
      </c>
      <c r="M21" s="367"/>
      <c r="N21" s="338"/>
    </row>
    <row r="22" spans="1:14" s="339" customFormat="1" ht="47.25">
      <c r="A22" s="382" t="s">
        <v>427</v>
      </c>
      <c r="B22" s="386" t="s">
        <v>487</v>
      </c>
      <c r="C22" s="363" t="s">
        <v>232</v>
      </c>
      <c r="D22" s="364">
        <v>36383</v>
      </c>
      <c r="E22" s="364">
        <v>36454</v>
      </c>
      <c r="F22" s="363" t="s">
        <v>416</v>
      </c>
      <c r="G22" s="365"/>
      <c r="H22" s="365">
        <v>38207</v>
      </c>
      <c r="I22" s="366">
        <v>0</v>
      </c>
      <c r="J22" s="366">
        <v>0</v>
      </c>
      <c r="K22" s="397">
        <f t="shared" si="0"/>
        <v>38207</v>
      </c>
      <c r="L22" s="363">
        <v>0</v>
      </c>
      <c r="M22" s="367"/>
      <c r="N22" s="338"/>
    </row>
    <row r="23" spans="1:14" s="339" customFormat="1" ht="78.75">
      <c r="A23" s="382" t="s">
        <v>428</v>
      </c>
      <c r="B23" s="386" t="s">
        <v>488</v>
      </c>
      <c r="C23" s="363" t="s">
        <v>232</v>
      </c>
      <c r="D23" s="364">
        <v>36383</v>
      </c>
      <c r="E23" s="364">
        <v>36454</v>
      </c>
      <c r="F23" s="363" t="s">
        <v>416</v>
      </c>
      <c r="G23" s="365"/>
      <c r="H23" s="365">
        <v>67746</v>
      </c>
      <c r="I23" s="366">
        <v>0</v>
      </c>
      <c r="J23" s="366">
        <v>0</v>
      </c>
      <c r="K23" s="397">
        <f t="shared" si="0"/>
        <v>67746</v>
      </c>
      <c r="L23" s="363">
        <v>0</v>
      </c>
      <c r="M23" s="367"/>
      <c r="N23" s="338"/>
    </row>
    <row r="24" spans="1:14" ht="15.75">
      <c r="A24" s="384"/>
      <c r="B24" s="390"/>
      <c r="C24" s="281"/>
      <c r="D24" s="282"/>
      <c r="E24" s="282"/>
      <c r="F24" s="281"/>
      <c r="G24" s="283"/>
      <c r="H24" s="283"/>
      <c r="I24" s="284"/>
      <c r="J24" s="284"/>
      <c r="K24" s="398"/>
      <c r="L24" s="281"/>
      <c r="M24" s="285"/>
      <c r="N24" s="286"/>
    </row>
    <row r="25" spans="1:14" s="339" customFormat="1" ht="31.5">
      <c r="A25" s="383" t="s">
        <v>429</v>
      </c>
      <c r="B25" s="386" t="s">
        <v>490</v>
      </c>
      <c r="C25" s="333" t="s">
        <v>238</v>
      </c>
      <c r="D25" s="334">
        <v>36458</v>
      </c>
      <c r="E25" s="334">
        <v>36458</v>
      </c>
      <c r="F25" s="333" t="s">
        <v>412</v>
      </c>
      <c r="G25" s="335"/>
      <c r="H25" s="335">
        <v>0</v>
      </c>
      <c r="I25" s="336">
        <v>5000</v>
      </c>
      <c r="J25" s="336">
        <v>0</v>
      </c>
      <c r="K25" s="396">
        <f t="shared" si="0"/>
        <v>5000</v>
      </c>
      <c r="L25" s="333">
        <v>0</v>
      </c>
      <c r="M25" s="337"/>
      <c r="N25" s="338"/>
    </row>
    <row r="26" spans="1:14" ht="15.75">
      <c r="A26" s="384"/>
      <c r="B26" s="390"/>
      <c r="C26" s="281"/>
      <c r="D26" s="282"/>
      <c r="E26" s="282"/>
      <c r="F26" s="281"/>
      <c r="G26" s="283"/>
      <c r="H26" s="283"/>
      <c r="I26" s="284"/>
      <c r="J26" s="284"/>
      <c r="K26" s="398"/>
      <c r="L26" s="281"/>
      <c r="M26" s="285"/>
      <c r="N26" s="286"/>
    </row>
    <row r="27" spans="1:14" s="339" customFormat="1" ht="15.75">
      <c r="A27" s="383" t="s">
        <v>430</v>
      </c>
      <c r="B27" s="386" t="s">
        <v>431</v>
      </c>
      <c r="C27" s="333" t="s">
        <v>432</v>
      </c>
      <c r="D27" s="334">
        <v>36210</v>
      </c>
      <c r="E27" s="334">
        <v>36210</v>
      </c>
      <c r="F27" s="333" t="s">
        <v>412</v>
      </c>
      <c r="G27" s="335">
        <v>480000</v>
      </c>
      <c r="H27" s="335">
        <v>0</v>
      </c>
      <c r="I27" s="336">
        <v>0</v>
      </c>
      <c r="J27" s="336">
        <v>0</v>
      </c>
      <c r="K27" s="396">
        <f t="shared" si="0"/>
        <v>480000</v>
      </c>
      <c r="L27" s="333">
        <v>0</v>
      </c>
      <c r="M27" s="337"/>
      <c r="N27" s="338"/>
    </row>
    <row r="28" spans="1:14" s="339" customFormat="1" ht="47.25">
      <c r="A28" s="382" t="s">
        <v>433</v>
      </c>
      <c r="B28" s="386" t="s">
        <v>491</v>
      </c>
      <c r="C28" s="363" t="s">
        <v>432</v>
      </c>
      <c r="D28" s="364">
        <v>36416</v>
      </c>
      <c r="E28" s="364">
        <v>36416</v>
      </c>
      <c r="F28" s="363" t="s">
        <v>412</v>
      </c>
      <c r="G28" s="365">
        <v>1832000</v>
      </c>
      <c r="H28" s="365">
        <v>0</v>
      </c>
      <c r="I28" s="366">
        <v>0</v>
      </c>
      <c r="J28" s="366">
        <v>0</v>
      </c>
      <c r="K28" s="397">
        <f t="shared" si="0"/>
        <v>1832000</v>
      </c>
      <c r="L28" s="363">
        <v>0</v>
      </c>
      <c r="M28" s="367"/>
      <c r="N28" s="338"/>
    </row>
    <row r="29" spans="1:14" ht="15.75">
      <c r="A29" s="384"/>
      <c r="B29" s="390"/>
      <c r="C29" s="281"/>
      <c r="D29" s="282"/>
      <c r="E29" s="282"/>
      <c r="F29" s="281"/>
      <c r="G29" s="283"/>
      <c r="H29" s="283"/>
      <c r="I29" s="284"/>
      <c r="J29" s="284"/>
      <c r="K29" s="398"/>
      <c r="L29" s="281"/>
      <c r="M29" s="285"/>
      <c r="N29" s="286"/>
    </row>
    <row r="30" spans="1:14" s="339" customFormat="1" ht="15.75">
      <c r="A30" s="383" t="s">
        <v>434</v>
      </c>
      <c r="B30" s="386" t="s">
        <v>435</v>
      </c>
      <c r="C30" s="333" t="s">
        <v>432</v>
      </c>
      <c r="D30" s="334">
        <v>36413</v>
      </c>
      <c r="E30" s="334">
        <v>36413</v>
      </c>
      <c r="F30" s="333" t="s">
        <v>412</v>
      </c>
      <c r="G30" s="335">
        <v>9479079</v>
      </c>
      <c r="H30" s="335">
        <v>0</v>
      </c>
      <c r="I30" s="336">
        <v>0</v>
      </c>
      <c r="J30" s="336">
        <v>0</v>
      </c>
      <c r="K30" s="396">
        <f t="shared" si="0"/>
        <v>9479079</v>
      </c>
      <c r="L30" s="333">
        <v>0</v>
      </c>
      <c r="M30" s="337"/>
      <c r="N30" s="338"/>
    </row>
    <row r="31" spans="1:14" ht="15.75">
      <c r="A31" s="287"/>
      <c r="B31" s="332"/>
      <c r="C31" s="281"/>
      <c r="D31" s="282"/>
      <c r="E31" s="282"/>
      <c r="F31" s="281"/>
      <c r="G31" s="283"/>
      <c r="H31" s="283"/>
      <c r="I31" s="284"/>
      <c r="J31" s="284"/>
      <c r="K31" s="398"/>
      <c r="L31" s="281"/>
      <c r="M31" s="285"/>
      <c r="N31" s="286"/>
    </row>
    <row r="32" spans="1:14" ht="4.5" customHeight="1">
      <c r="A32" s="289"/>
      <c r="B32" s="331"/>
      <c r="C32" s="291"/>
      <c r="D32" s="291"/>
      <c r="E32" s="291"/>
      <c r="F32" s="291"/>
      <c r="G32" s="292"/>
      <c r="H32" s="292"/>
      <c r="I32" s="293"/>
      <c r="J32" s="293"/>
      <c r="K32" s="399"/>
      <c r="L32" s="291"/>
      <c r="M32" s="294"/>
      <c r="N32" s="295"/>
    </row>
    <row r="33" spans="1:14" ht="4.5" customHeight="1">
      <c r="A33" s="280"/>
      <c r="B33" s="296"/>
      <c r="C33" s="281"/>
      <c r="D33" s="281"/>
      <c r="E33" s="281"/>
      <c r="F33" s="281"/>
      <c r="G33" s="281"/>
      <c r="H33" s="297"/>
      <c r="I33" s="297"/>
      <c r="J33" s="297"/>
      <c r="K33" s="394"/>
      <c r="L33" s="281"/>
      <c r="M33" s="285"/>
      <c r="N33" s="286"/>
    </row>
    <row r="34" spans="1:14" ht="15.75">
      <c r="A34" s="280"/>
      <c r="B34" s="296" t="s">
        <v>436</v>
      </c>
      <c r="C34" s="281"/>
      <c r="D34" s="281"/>
      <c r="E34" s="281"/>
      <c r="F34" s="281" t="s">
        <v>412</v>
      </c>
      <c r="G34" s="297">
        <f t="shared" ref="G34:K37" si="1">SUMIF($F$12:$F$32,$F34,G$12:G$32)</f>
        <v>11791079</v>
      </c>
      <c r="H34" s="297">
        <f t="shared" si="1"/>
        <v>0</v>
      </c>
      <c r="I34" s="297">
        <f t="shared" si="1"/>
        <v>5000</v>
      </c>
      <c r="J34" s="297">
        <f t="shared" si="1"/>
        <v>0</v>
      </c>
      <c r="K34" s="394">
        <f t="shared" si="1"/>
        <v>11796079</v>
      </c>
      <c r="L34" s="281"/>
      <c r="M34" s="285"/>
      <c r="N34" s="286"/>
    </row>
    <row r="35" spans="1:14" ht="15.75">
      <c r="A35" s="280"/>
      <c r="B35" s="296" t="s">
        <v>437</v>
      </c>
      <c r="C35" s="281"/>
      <c r="D35" s="281"/>
      <c r="E35" s="281"/>
      <c r="F35" s="281" t="s">
        <v>416</v>
      </c>
      <c r="G35" s="297">
        <f t="shared" si="1"/>
        <v>0</v>
      </c>
      <c r="H35" s="297">
        <f t="shared" si="1"/>
        <v>1555073</v>
      </c>
      <c r="I35" s="297">
        <f t="shared" si="1"/>
        <v>0</v>
      </c>
      <c r="J35" s="297">
        <f t="shared" si="1"/>
        <v>0</v>
      </c>
      <c r="K35" s="394">
        <f t="shared" si="1"/>
        <v>1555073</v>
      </c>
      <c r="L35" s="281"/>
      <c r="M35" s="285"/>
      <c r="N35" s="286"/>
    </row>
    <row r="36" spans="1:14" ht="15.75">
      <c r="A36" s="280"/>
      <c r="B36" s="296" t="s">
        <v>438</v>
      </c>
      <c r="C36" s="281"/>
      <c r="D36" s="281"/>
      <c r="E36" s="281"/>
      <c r="F36" s="281" t="s">
        <v>419</v>
      </c>
      <c r="G36" s="297">
        <f t="shared" si="1"/>
        <v>0</v>
      </c>
      <c r="H36" s="297">
        <f t="shared" si="1"/>
        <v>4523630</v>
      </c>
      <c r="I36" s="297">
        <f t="shared" si="1"/>
        <v>0</v>
      </c>
      <c r="J36" s="297">
        <f t="shared" si="1"/>
        <v>0</v>
      </c>
      <c r="K36" s="394">
        <f t="shared" si="1"/>
        <v>4523630</v>
      </c>
      <c r="L36" s="281"/>
      <c r="M36" s="285"/>
      <c r="N36" s="286"/>
    </row>
    <row r="37" spans="1:14" ht="15.75">
      <c r="A37" s="280"/>
      <c r="B37" s="296" t="s">
        <v>439</v>
      </c>
      <c r="C37" s="281"/>
      <c r="D37" s="281"/>
      <c r="E37" s="281"/>
      <c r="F37" s="281" t="s">
        <v>440</v>
      </c>
      <c r="G37" s="297">
        <f t="shared" si="1"/>
        <v>0</v>
      </c>
      <c r="H37" s="297">
        <f t="shared" si="1"/>
        <v>0</v>
      </c>
      <c r="I37" s="297">
        <f t="shared" si="1"/>
        <v>0</v>
      </c>
      <c r="J37" s="297">
        <f t="shared" si="1"/>
        <v>0</v>
      </c>
      <c r="K37" s="394">
        <f t="shared" si="1"/>
        <v>0</v>
      </c>
      <c r="L37" s="281"/>
      <c r="M37" s="285"/>
      <c r="N37" s="286"/>
    </row>
    <row r="38" spans="1:14" ht="16.5" thickBot="1">
      <c r="A38" s="298"/>
      <c r="B38" s="299" t="s">
        <v>441</v>
      </c>
      <c r="C38" s="300"/>
      <c r="D38" s="300"/>
      <c r="E38" s="300"/>
      <c r="F38" s="301" t="s">
        <v>76</v>
      </c>
      <c r="G38" s="302">
        <f>SUM(G33:G37)</f>
        <v>11791079</v>
      </c>
      <c r="H38" s="302">
        <f>SUM(H33:H37)</f>
        <v>6078703</v>
      </c>
      <c r="I38" s="302">
        <f>SUM(I33:I37)</f>
        <v>5000</v>
      </c>
      <c r="J38" s="302">
        <f>SUM(J33:J37)</f>
        <v>0</v>
      </c>
      <c r="K38" s="395">
        <f>SUM(K33:K37)</f>
        <v>17874782</v>
      </c>
      <c r="L38" s="300"/>
      <c r="M38" s="303"/>
      <c r="N38" s="304"/>
    </row>
    <row r="39" spans="1:14" ht="15.75">
      <c r="K39" s="400"/>
    </row>
    <row r="40" spans="1:14" ht="15.75">
      <c r="K40" s="400"/>
    </row>
    <row r="41" spans="1:14" ht="15.75">
      <c r="A41" s="312" t="s">
        <v>464</v>
      </c>
      <c r="K41" s="400"/>
    </row>
    <row r="42" spans="1:14" ht="15.75">
      <c r="K42" s="400"/>
    </row>
    <row r="43" spans="1:14" s="122" customFormat="1" ht="15.75">
      <c r="A43" s="122" t="s">
        <v>442</v>
      </c>
      <c r="H43" s="305">
        <f>H34+H35</f>
        <v>1555073</v>
      </c>
      <c r="I43" s="122" t="s">
        <v>489</v>
      </c>
    </row>
    <row r="45" spans="1:14" s="306" customFormat="1" ht="15">
      <c r="A45" s="306" t="s">
        <v>465</v>
      </c>
      <c r="H45" s="307">
        <f>H36</f>
        <v>4523630</v>
      </c>
      <c r="I45" s="306" t="s">
        <v>463</v>
      </c>
    </row>
    <row r="47" spans="1:14" s="308" customFormat="1" ht="15">
      <c r="A47" s="308" t="s">
        <v>443</v>
      </c>
      <c r="H47" s="309">
        <f>-Wilton!BT123-'Wilton - Nepco Scope Changes'!H38</f>
        <v>1620535</v>
      </c>
      <c r="I47" s="308" t="s">
        <v>444</v>
      </c>
    </row>
    <row r="49" spans="1:14" s="18" customFormat="1" ht="15.75" thickBot="1">
      <c r="A49" s="310" t="s">
        <v>445</v>
      </c>
      <c r="B49" s="310"/>
      <c r="C49" s="310"/>
      <c r="D49" s="310"/>
      <c r="E49" s="310"/>
      <c r="F49" s="310"/>
      <c r="G49" s="310"/>
      <c r="H49" s="311">
        <f>SUM(H43:H48)</f>
        <v>7699238</v>
      </c>
      <c r="I49" s="310"/>
      <c r="J49" s="310"/>
      <c r="K49" s="310"/>
      <c r="L49" s="310"/>
      <c r="M49" s="310"/>
      <c r="N49" s="310"/>
    </row>
    <row r="50" spans="1:14"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16" header="0.17" footer="0.17"/>
  <pageSetup scale="61"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1</xdr:col>
                <xdr:colOff>9525</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386</v>
      </c>
      <c r="N3" s="258"/>
    </row>
    <row r="4" spans="1:14" ht="26.25">
      <c r="A4" s="260"/>
      <c r="B4" s="260" t="s">
        <v>395</v>
      </c>
      <c r="C4" s="258"/>
      <c r="D4" s="258"/>
      <c r="E4" s="258"/>
      <c r="F4" s="258"/>
      <c r="G4" s="258"/>
      <c r="H4" s="261"/>
      <c r="I4" s="261"/>
      <c r="J4" s="261"/>
      <c r="K4" s="261"/>
      <c r="L4" s="258"/>
      <c r="M4" s="258"/>
      <c r="N4" s="258"/>
    </row>
    <row r="5" spans="1:14" ht="20.25">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446</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46" customFormat="1" ht="110.25">
      <c r="A13" s="381" t="s">
        <v>447</v>
      </c>
      <c r="B13" s="391" t="s">
        <v>498</v>
      </c>
      <c r="C13" s="368" t="s">
        <v>232</v>
      </c>
      <c r="D13" s="369">
        <v>36369</v>
      </c>
      <c r="E13" s="369"/>
      <c r="F13" s="368" t="s">
        <v>419</v>
      </c>
      <c r="G13" s="370"/>
      <c r="H13" s="370">
        <v>1615799</v>
      </c>
      <c r="I13" s="371">
        <v>0</v>
      </c>
      <c r="J13" s="371">
        <v>0</v>
      </c>
      <c r="K13" s="371">
        <f>SUM(G13:J13)</f>
        <v>1615799</v>
      </c>
      <c r="L13" s="368" t="s">
        <v>448</v>
      </c>
      <c r="M13" s="372"/>
      <c r="N13" s="345"/>
    </row>
    <row r="14" spans="1:14" s="346" customFormat="1" ht="141.75">
      <c r="A14" s="381" t="s">
        <v>449</v>
      </c>
      <c r="B14" s="391" t="s">
        <v>497</v>
      </c>
      <c r="C14" s="368" t="s">
        <v>232</v>
      </c>
      <c r="D14" s="369">
        <v>36464</v>
      </c>
      <c r="E14" s="369"/>
      <c r="F14" s="368" t="s">
        <v>419</v>
      </c>
      <c r="G14" s="370"/>
      <c r="H14" s="370">
        <v>2829700</v>
      </c>
      <c r="I14" s="371">
        <v>0</v>
      </c>
      <c r="J14" s="371">
        <v>0</v>
      </c>
      <c r="K14" s="371">
        <f>SUM(G14:J14)</f>
        <v>2829700</v>
      </c>
      <c r="L14" s="368" t="s">
        <v>448</v>
      </c>
      <c r="M14" s="372"/>
      <c r="N14" s="345"/>
    </row>
    <row r="15" spans="1:14" ht="15.75">
      <c r="A15" s="280"/>
      <c r="B15" s="392"/>
      <c r="C15" s="281"/>
      <c r="D15" s="282"/>
      <c r="E15" s="282"/>
      <c r="F15" s="281"/>
      <c r="G15" s="283"/>
      <c r="H15" s="283"/>
      <c r="I15" s="284"/>
      <c r="J15" s="284"/>
      <c r="K15" s="284"/>
      <c r="L15" s="281"/>
      <c r="M15" s="285"/>
      <c r="N15" s="286"/>
    </row>
    <row r="16" spans="1:14" ht="15.75">
      <c r="A16" s="280" t="s">
        <v>450</v>
      </c>
      <c r="B16" s="392" t="s">
        <v>451</v>
      </c>
      <c r="C16" s="281" t="s">
        <v>432</v>
      </c>
      <c r="D16" s="282">
        <v>36350</v>
      </c>
      <c r="E16" s="282">
        <v>36350</v>
      </c>
      <c r="F16" s="281" t="s">
        <v>412</v>
      </c>
      <c r="G16" s="283">
        <v>436901</v>
      </c>
      <c r="H16" s="283">
        <v>0</v>
      </c>
      <c r="I16" s="284">
        <v>0</v>
      </c>
      <c r="J16" s="284">
        <v>0</v>
      </c>
      <c r="K16" s="284">
        <f>SUM(G16:J16)</f>
        <v>436901</v>
      </c>
      <c r="L16" s="281">
        <v>0</v>
      </c>
      <c r="M16" s="285"/>
      <c r="N16" s="286"/>
    </row>
    <row r="17" spans="1:14" ht="15.75">
      <c r="A17" s="280" t="s">
        <v>452</v>
      </c>
      <c r="B17" s="392" t="s">
        <v>453</v>
      </c>
      <c r="C17" s="281" t="s">
        <v>432</v>
      </c>
      <c r="D17" s="282">
        <v>36425</v>
      </c>
      <c r="E17" s="282">
        <v>36425</v>
      </c>
      <c r="F17" s="281" t="s">
        <v>412</v>
      </c>
      <c r="G17" s="283">
        <v>900</v>
      </c>
      <c r="H17" s="283">
        <v>0</v>
      </c>
      <c r="I17" s="284">
        <v>0</v>
      </c>
      <c r="J17" s="284">
        <v>0</v>
      </c>
      <c r="K17" s="284">
        <f>SUM(G17:J17)</f>
        <v>900</v>
      </c>
      <c r="L17" s="281">
        <v>0</v>
      </c>
      <c r="M17" s="285"/>
      <c r="N17" s="286"/>
    </row>
    <row r="18" spans="1:14" ht="15.75">
      <c r="A18" s="280"/>
      <c r="B18" s="392"/>
      <c r="C18" s="281"/>
      <c r="D18" s="282"/>
      <c r="E18" s="282"/>
      <c r="F18" s="281"/>
      <c r="G18" s="283"/>
      <c r="H18" s="283"/>
      <c r="I18" s="284"/>
      <c r="J18" s="284"/>
      <c r="K18" s="284"/>
      <c r="L18" s="281"/>
      <c r="M18" s="285"/>
      <c r="N18" s="286"/>
    </row>
    <row r="19" spans="1:14" ht="15.75">
      <c r="A19" s="280" t="s">
        <v>454</v>
      </c>
      <c r="B19" s="392" t="s">
        <v>455</v>
      </c>
      <c r="C19" s="281" t="s">
        <v>432</v>
      </c>
      <c r="D19" s="282">
        <v>36423</v>
      </c>
      <c r="E19" s="282">
        <v>36423</v>
      </c>
      <c r="F19" s="281" t="s">
        <v>412</v>
      </c>
      <c r="G19" s="283">
        <v>1099800</v>
      </c>
      <c r="H19" s="283">
        <v>0</v>
      </c>
      <c r="I19" s="283">
        <v>0</v>
      </c>
      <c r="J19" s="283">
        <v>0</v>
      </c>
      <c r="K19" s="284">
        <f>SUM(G19:J19)</f>
        <v>1099800</v>
      </c>
      <c r="L19" s="281">
        <v>0</v>
      </c>
      <c r="M19" s="285"/>
      <c r="N19" s="286"/>
    </row>
    <row r="20" spans="1:14" ht="15.75">
      <c r="A20" s="280" t="s">
        <v>456</v>
      </c>
      <c r="B20" s="392" t="s">
        <v>457</v>
      </c>
      <c r="C20" s="281" t="s">
        <v>432</v>
      </c>
      <c r="D20" s="282">
        <v>36425</v>
      </c>
      <c r="E20" s="282">
        <v>36425</v>
      </c>
      <c r="F20" s="281" t="s">
        <v>412</v>
      </c>
      <c r="G20" s="283">
        <v>16100</v>
      </c>
      <c r="H20" s="283">
        <v>0</v>
      </c>
      <c r="I20" s="283">
        <v>0</v>
      </c>
      <c r="J20" s="283">
        <v>0</v>
      </c>
      <c r="K20" s="284">
        <f>SUM(G20:J20)</f>
        <v>16100</v>
      </c>
      <c r="L20" s="281">
        <v>0</v>
      </c>
      <c r="M20" s="285"/>
      <c r="N20" s="286"/>
    </row>
    <row r="21" spans="1:14" ht="15.75">
      <c r="A21" s="280" t="s">
        <v>456</v>
      </c>
      <c r="B21" s="392" t="s">
        <v>458</v>
      </c>
      <c r="C21" s="281" t="s">
        <v>432</v>
      </c>
      <c r="D21" s="282">
        <v>36425</v>
      </c>
      <c r="E21" s="282">
        <v>36425</v>
      </c>
      <c r="F21" s="281" t="s">
        <v>412</v>
      </c>
      <c r="G21" s="283">
        <v>29800</v>
      </c>
      <c r="H21" s="283">
        <v>0</v>
      </c>
      <c r="I21" s="283">
        <v>0</v>
      </c>
      <c r="J21" s="283">
        <v>0</v>
      </c>
      <c r="K21" s="284">
        <f>SUM(G21:J21)</f>
        <v>29800</v>
      </c>
      <c r="L21" s="281">
        <v>0</v>
      </c>
      <c r="M21" s="285"/>
      <c r="N21" s="286"/>
    </row>
    <row r="22" spans="1:14" ht="15.75">
      <c r="A22" s="280" t="s">
        <v>459</v>
      </c>
      <c r="B22" s="392" t="s">
        <v>460</v>
      </c>
      <c r="C22" s="281" t="s">
        <v>432</v>
      </c>
      <c r="D22" s="282">
        <v>36425</v>
      </c>
      <c r="E22" s="282">
        <v>36425</v>
      </c>
      <c r="F22" s="281" t="s">
        <v>412</v>
      </c>
      <c r="G22" s="283">
        <v>22900</v>
      </c>
      <c r="H22" s="283">
        <v>0</v>
      </c>
      <c r="I22" s="283">
        <v>0</v>
      </c>
      <c r="J22" s="283">
        <v>0</v>
      </c>
      <c r="K22" s="284">
        <f>SUM(G22:J22)</f>
        <v>22900</v>
      </c>
      <c r="L22" s="281">
        <v>0</v>
      </c>
      <c r="M22" s="285"/>
      <c r="N22" s="286"/>
    </row>
    <row r="23" spans="1:14" ht="15.75">
      <c r="A23" s="280" t="s">
        <v>459</v>
      </c>
      <c r="B23" s="392" t="s">
        <v>461</v>
      </c>
      <c r="C23" s="281" t="s">
        <v>432</v>
      </c>
      <c r="D23" s="282">
        <v>36425</v>
      </c>
      <c r="E23" s="282">
        <v>36425</v>
      </c>
      <c r="F23" s="281" t="s">
        <v>412</v>
      </c>
      <c r="G23" s="283">
        <v>39315</v>
      </c>
      <c r="H23" s="283">
        <v>0</v>
      </c>
      <c r="I23" s="283">
        <v>0</v>
      </c>
      <c r="J23" s="283">
        <v>0</v>
      </c>
      <c r="K23" s="284">
        <f>SUM(G23:J23)</f>
        <v>39315</v>
      </c>
      <c r="L23" s="281">
        <v>0</v>
      </c>
      <c r="M23" s="285"/>
      <c r="N23" s="286"/>
    </row>
    <row r="24" spans="1:14" ht="15.75">
      <c r="A24" s="287"/>
      <c r="B24" s="393"/>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c r="A27" s="280"/>
      <c r="B27" s="296" t="s">
        <v>436</v>
      </c>
      <c r="C27" s="281"/>
      <c r="D27" s="281"/>
      <c r="E27" s="281"/>
      <c r="F27" s="281" t="s">
        <v>412</v>
      </c>
      <c r="G27" s="297">
        <f t="shared" ref="G27:K30" si="0">SUMIF($F$12:$F$25,$F27,G$12:G$25)</f>
        <v>1645716</v>
      </c>
      <c r="H27" s="297">
        <f t="shared" si="0"/>
        <v>0</v>
      </c>
      <c r="I27" s="297">
        <f t="shared" si="0"/>
        <v>0</v>
      </c>
      <c r="J27" s="297">
        <f t="shared" si="0"/>
        <v>0</v>
      </c>
      <c r="K27" s="297">
        <f t="shared" si="0"/>
        <v>1645716</v>
      </c>
      <c r="L27" s="281"/>
      <c r="M27" s="285"/>
      <c r="N27" s="286"/>
    </row>
    <row r="28" spans="1:14">
      <c r="A28" s="280"/>
      <c r="B28" s="296" t="s">
        <v>437</v>
      </c>
      <c r="C28" s="281"/>
      <c r="D28" s="281"/>
      <c r="E28" s="281"/>
      <c r="F28" s="281" t="s">
        <v>416</v>
      </c>
      <c r="G28" s="297">
        <f t="shared" si="0"/>
        <v>0</v>
      </c>
      <c r="H28" s="297">
        <f t="shared" si="0"/>
        <v>0</v>
      </c>
      <c r="I28" s="297">
        <f t="shared" si="0"/>
        <v>0</v>
      </c>
      <c r="J28" s="297">
        <f t="shared" si="0"/>
        <v>0</v>
      </c>
      <c r="K28" s="297">
        <f t="shared" si="0"/>
        <v>0</v>
      </c>
      <c r="L28" s="281"/>
      <c r="M28" s="285"/>
      <c r="N28" s="286"/>
    </row>
    <row r="29" spans="1:14">
      <c r="A29" s="280"/>
      <c r="B29" s="296" t="s">
        <v>438</v>
      </c>
      <c r="C29" s="281"/>
      <c r="D29" s="281"/>
      <c r="E29" s="281"/>
      <c r="F29" s="281" t="s">
        <v>419</v>
      </c>
      <c r="G29" s="297">
        <f t="shared" si="0"/>
        <v>0</v>
      </c>
      <c r="H29" s="297">
        <f t="shared" si="0"/>
        <v>4445499</v>
      </c>
      <c r="I29" s="297">
        <f t="shared" si="0"/>
        <v>0</v>
      </c>
      <c r="J29" s="297">
        <f t="shared" si="0"/>
        <v>0</v>
      </c>
      <c r="K29" s="297">
        <f t="shared" si="0"/>
        <v>4445499</v>
      </c>
      <c r="L29" s="281"/>
      <c r="M29" s="285"/>
      <c r="N29" s="286"/>
    </row>
    <row r="30" spans="1:14">
      <c r="A30" s="280"/>
      <c r="B30" s="296" t="s">
        <v>439</v>
      </c>
      <c r="C30" s="281"/>
      <c r="D30" s="281"/>
      <c r="E30" s="281"/>
      <c r="F30" s="281" t="s">
        <v>440</v>
      </c>
      <c r="G30" s="297">
        <f t="shared" si="0"/>
        <v>0</v>
      </c>
      <c r="H30" s="297">
        <f t="shared" si="0"/>
        <v>0</v>
      </c>
      <c r="I30" s="297">
        <f t="shared" si="0"/>
        <v>0</v>
      </c>
      <c r="J30" s="297">
        <f t="shared" si="0"/>
        <v>0</v>
      </c>
      <c r="K30" s="297">
        <f t="shared" si="0"/>
        <v>0</v>
      </c>
      <c r="L30" s="281"/>
      <c r="M30" s="285"/>
      <c r="N30" s="286"/>
    </row>
    <row r="31" spans="1:14" ht="13.5" thickBot="1">
      <c r="A31" s="298"/>
      <c r="B31" s="299" t="s">
        <v>462</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c r="A32" s="313"/>
      <c r="B32" s="314"/>
      <c r="C32" s="315"/>
      <c r="D32" s="315"/>
      <c r="E32" s="315"/>
      <c r="F32" s="271"/>
      <c r="G32" s="316"/>
      <c r="H32" s="316"/>
      <c r="I32" s="316"/>
      <c r="J32" s="316"/>
      <c r="K32" s="316"/>
      <c r="L32" s="315"/>
      <c r="M32" s="285"/>
      <c r="N32" s="317"/>
    </row>
    <row r="33" spans="1:8" ht="15">
      <c r="A33" s="312" t="s">
        <v>464</v>
      </c>
    </row>
    <row r="34" spans="1:8" ht="15">
      <c r="A34" s="312"/>
    </row>
    <row r="35" spans="1:8" s="122" customFormat="1" ht="15.75">
      <c r="A35" s="122" t="s">
        <v>442</v>
      </c>
      <c r="H35" s="305">
        <f>H24+H25</f>
        <v>0</v>
      </c>
    </row>
    <row r="37" spans="1:8" s="306" customFormat="1" ht="15">
      <c r="A37" s="306" t="s">
        <v>465</v>
      </c>
      <c r="H37" s="307">
        <f>SUM(H13:H14)</f>
        <v>4445499</v>
      </c>
    </row>
    <row r="39" spans="1:8" s="308" customFormat="1" ht="15">
      <c r="A39" s="308" t="s">
        <v>443</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4.285156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387</v>
      </c>
      <c r="N3" s="258"/>
    </row>
    <row r="4" spans="1:14" ht="26.25">
      <c r="A4" s="260"/>
      <c r="B4" s="260" t="s">
        <v>395</v>
      </c>
      <c r="C4" s="258"/>
      <c r="D4" s="258"/>
      <c r="E4" s="258"/>
      <c r="F4" s="258"/>
      <c r="G4" s="258"/>
      <c r="H4" s="261"/>
      <c r="I4" s="261"/>
      <c r="J4" s="261"/>
      <c r="K4" s="261"/>
      <c r="L4" s="258"/>
      <c r="M4" s="258"/>
      <c r="N4" s="258"/>
    </row>
    <row r="5" spans="1:14" ht="20.25">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c r="A8" s="404"/>
      <c r="B8" s="407"/>
      <c r="C8" s="407"/>
      <c r="D8" s="407"/>
      <c r="E8" s="407"/>
      <c r="F8" s="407"/>
      <c r="G8" s="410"/>
      <c r="H8" s="410"/>
      <c r="I8" s="410"/>
      <c r="J8" s="410"/>
      <c r="K8" s="410"/>
      <c r="L8" s="407"/>
      <c r="M8" s="413"/>
      <c r="N8" s="264"/>
    </row>
    <row r="9" spans="1:14" ht="13.5" thickBot="1">
      <c r="A9" s="405"/>
      <c r="B9" s="408"/>
      <c r="C9" s="408"/>
      <c r="D9" s="408"/>
      <c r="E9" s="408"/>
      <c r="F9" s="408"/>
      <c r="G9" s="411"/>
      <c r="H9" s="411"/>
      <c r="I9" s="411"/>
      <c r="J9" s="411"/>
      <c r="K9" s="411"/>
      <c r="L9" s="408"/>
      <c r="M9" s="414"/>
      <c r="N9" s="265"/>
    </row>
    <row r="10" spans="1:14" ht="13.5" thickBot="1">
      <c r="A10" s="266"/>
      <c r="B10" s="267"/>
      <c r="C10" s="267"/>
      <c r="D10" s="267"/>
      <c r="E10" s="267"/>
      <c r="F10" s="267"/>
      <c r="G10" s="267"/>
      <c r="H10" s="266"/>
      <c r="I10" s="266"/>
      <c r="J10" s="266"/>
      <c r="K10" s="266"/>
      <c r="L10" s="267"/>
      <c r="M10" s="267"/>
      <c r="N10" s="268"/>
    </row>
    <row r="11" spans="1:14" s="30" customFormat="1" ht="18.75" customHeight="1" thickBot="1">
      <c r="A11" s="269" t="s">
        <v>467</v>
      </c>
      <c r="B11" s="270"/>
      <c r="C11" s="271"/>
      <c r="D11" s="271"/>
      <c r="E11" s="271"/>
      <c r="F11" s="271"/>
      <c r="G11" s="271"/>
      <c r="H11" s="272"/>
      <c r="I11" s="272"/>
      <c r="J11" s="272"/>
      <c r="K11" s="272"/>
      <c r="L11" s="271"/>
      <c r="M11" s="268"/>
      <c r="N11" s="268"/>
    </row>
    <row r="12" spans="1:14" s="346" customFormat="1" ht="74.25" customHeight="1">
      <c r="A12" s="381" t="s">
        <v>468</v>
      </c>
      <c r="B12" s="391" t="s">
        <v>499</v>
      </c>
      <c r="C12" s="368" t="s">
        <v>232</v>
      </c>
      <c r="D12" s="369">
        <v>36388</v>
      </c>
      <c r="E12" s="369"/>
      <c r="F12" s="368" t="s">
        <v>419</v>
      </c>
      <c r="G12" s="370"/>
      <c r="H12" s="370">
        <v>3405348</v>
      </c>
      <c r="I12" s="371">
        <v>0</v>
      </c>
      <c r="J12" s="371">
        <v>0</v>
      </c>
      <c r="K12" s="371">
        <f>SUM(G12:J12)</f>
        <v>3405348</v>
      </c>
      <c r="L12" s="368" t="s">
        <v>448</v>
      </c>
      <c r="M12" s="372"/>
      <c r="N12" s="345"/>
    </row>
    <row r="13" spans="1:14" s="346" customFormat="1" ht="89.25" customHeight="1">
      <c r="A13" s="381" t="s">
        <v>469</v>
      </c>
      <c r="B13" s="391" t="s">
        <v>501</v>
      </c>
      <c r="C13" s="368" t="s">
        <v>232</v>
      </c>
      <c r="D13" s="369">
        <v>36464</v>
      </c>
      <c r="E13" s="369"/>
      <c r="F13" s="368" t="s">
        <v>419</v>
      </c>
      <c r="G13" s="370"/>
      <c r="H13" s="370">
        <v>2055664</v>
      </c>
      <c r="I13" s="371">
        <v>0</v>
      </c>
      <c r="J13" s="371">
        <v>0</v>
      </c>
      <c r="K13" s="371">
        <f>SUM(G13:J13)</f>
        <v>2055664</v>
      </c>
      <c r="L13" s="368" t="s">
        <v>448</v>
      </c>
      <c r="M13" s="372"/>
      <c r="N13" s="345"/>
    </row>
    <row r="14" spans="1:14" ht="15.75">
      <c r="A14" s="280"/>
      <c r="B14" s="392"/>
      <c r="C14" s="281"/>
      <c r="D14" s="282"/>
      <c r="E14" s="282"/>
      <c r="F14" s="281"/>
      <c r="G14" s="283"/>
      <c r="H14" s="283"/>
      <c r="I14" s="284"/>
      <c r="J14" s="284"/>
      <c r="K14" s="284"/>
      <c r="L14" s="281"/>
      <c r="M14" s="285"/>
      <c r="N14" s="286"/>
    </row>
    <row r="15" spans="1:14" ht="15.75">
      <c r="A15" s="280" t="s">
        <v>470</v>
      </c>
      <c r="B15" s="392" t="s">
        <v>471</v>
      </c>
      <c r="C15" s="281" t="s">
        <v>432</v>
      </c>
      <c r="D15" s="282">
        <v>36342</v>
      </c>
      <c r="E15" s="282">
        <v>36342</v>
      </c>
      <c r="F15" s="281" t="s">
        <v>412</v>
      </c>
      <c r="G15" s="283">
        <v>-100000</v>
      </c>
      <c r="H15" s="283">
        <v>0</v>
      </c>
      <c r="I15" s="284">
        <v>0</v>
      </c>
      <c r="J15" s="284">
        <v>0</v>
      </c>
      <c r="K15" s="284">
        <f>SUM(G15:J15)</f>
        <v>-100000</v>
      </c>
      <c r="L15" s="281">
        <v>0</v>
      </c>
      <c r="M15" s="285"/>
      <c r="N15" s="286"/>
    </row>
    <row r="16" spans="1:14" ht="15.75">
      <c r="A16" s="280" t="s">
        <v>472</v>
      </c>
      <c r="B16" s="392" t="s">
        <v>473</v>
      </c>
      <c r="C16" s="281" t="s">
        <v>432</v>
      </c>
      <c r="D16" s="282">
        <v>36348</v>
      </c>
      <c r="E16" s="282">
        <v>36348</v>
      </c>
      <c r="F16" s="281" t="s">
        <v>412</v>
      </c>
      <c r="G16" s="283">
        <v>353801</v>
      </c>
      <c r="H16" s="283">
        <v>0</v>
      </c>
      <c r="I16" s="284">
        <v>0</v>
      </c>
      <c r="J16" s="284">
        <v>0</v>
      </c>
      <c r="K16" s="284">
        <f>SUM(G16:J16)</f>
        <v>353801</v>
      </c>
      <c r="L16" s="281">
        <v>0</v>
      </c>
      <c r="M16" s="285"/>
      <c r="N16" s="286"/>
    </row>
    <row r="17" spans="1:14" ht="15.75">
      <c r="A17" s="280" t="s">
        <v>474</v>
      </c>
      <c r="B17" s="392" t="s">
        <v>475</v>
      </c>
      <c r="C17" s="281" t="s">
        <v>432</v>
      </c>
      <c r="D17" s="282">
        <v>36398</v>
      </c>
      <c r="E17" s="282">
        <v>36398</v>
      </c>
      <c r="F17" s="281" t="s">
        <v>412</v>
      </c>
      <c r="G17" s="283">
        <v>-22200</v>
      </c>
      <c r="H17" s="283">
        <v>0</v>
      </c>
      <c r="I17" s="284">
        <v>0</v>
      </c>
      <c r="J17" s="284">
        <v>0</v>
      </c>
      <c r="K17" s="284">
        <f>SUM(G17:J17)</f>
        <v>-22200</v>
      </c>
      <c r="L17" s="281">
        <v>0</v>
      </c>
      <c r="M17" s="285"/>
      <c r="N17" s="286"/>
    </row>
    <row r="18" spans="1:14">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c r="A21" s="280"/>
      <c r="B21" s="296" t="s">
        <v>436</v>
      </c>
      <c r="C21" s="281"/>
      <c r="D21" s="281"/>
      <c r="E21" s="281"/>
      <c r="F21" s="281" t="s">
        <v>412</v>
      </c>
      <c r="G21" s="297">
        <f t="shared" ref="G21:K24" si="0">SUMIF($F$12:$F$19,$F21,G$12:G$19)</f>
        <v>231601</v>
      </c>
      <c r="H21" s="297">
        <f t="shared" si="0"/>
        <v>0</v>
      </c>
      <c r="I21" s="297">
        <f t="shared" si="0"/>
        <v>0</v>
      </c>
      <c r="J21" s="297">
        <f t="shared" si="0"/>
        <v>0</v>
      </c>
      <c r="K21" s="297">
        <f t="shared" si="0"/>
        <v>231601</v>
      </c>
      <c r="L21" s="281"/>
      <c r="M21" s="285"/>
      <c r="N21" s="286"/>
    </row>
    <row r="22" spans="1:14">
      <c r="A22" s="280"/>
      <c r="B22" s="296" t="s">
        <v>437</v>
      </c>
      <c r="C22" s="281"/>
      <c r="D22" s="281"/>
      <c r="E22" s="281"/>
      <c r="F22" s="281" t="s">
        <v>416</v>
      </c>
      <c r="G22" s="297">
        <f t="shared" si="0"/>
        <v>0</v>
      </c>
      <c r="H22" s="297">
        <f t="shared" si="0"/>
        <v>0</v>
      </c>
      <c r="I22" s="297">
        <f t="shared" si="0"/>
        <v>0</v>
      </c>
      <c r="J22" s="297">
        <f t="shared" si="0"/>
        <v>0</v>
      </c>
      <c r="K22" s="297">
        <f t="shared" si="0"/>
        <v>0</v>
      </c>
      <c r="L22" s="281"/>
      <c r="M22" s="285"/>
      <c r="N22" s="286"/>
    </row>
    <row r="23" spans="1:14">
      <c r="A23" s="280"/>
      <c r="B23" s="296" t="s">
        <v>438</v>
      </c>
      <c r="C23" s="281"/>
      <c r="D23" s="281"/>
      <c r="E23" s="281"/>
      <c r="F23" s="281" t="s">
        <v>419</v>
      </c>
      <c r="G23" s="297">
        <f t="shared" si="0"/>
        <v>0</v>
      </c>
      <c r="H23" s="297">
        <f t="shared" si="0"/>
        <v>5461012</v>
      </c>
      <c r="I23" s="297">
        <f t="shared" si="0"/>
        <v>0</v>
      </c>
      <c r="J23" s="297">
        <f t="shared" si="0"/>
        <v>0</v>
      </c>
      <c r="K23" s="297">
        <f t="shared" si="0"/>
        <v>5461012</v>
      </c>
      <c r="L23" s="281"/>
      <c r="M23" s="285"/>
      <c r="N23" s="286"/>
    </row>
    <row r="24" spans="1:14">
      <c r="A24" s="280"/>
      <c r="B24" s="296" t="s">
        <v>439</v>
      </c>
      <c r="C24" s="281"/>
      <c r="D24" s="281"/>
      <c r="E24" s="281"/>
      <c r="F24" s="281" t="s">
        <v>440</v>
      </c>
      <c r="G24" s="297">
        <f t="shared" si="0"/>
        <v>0</v>
      </c>
      <c r="H24" s="297">
        <f t="shared" si="0"/>
        <v>0</v>
      </c>
      <c r="I24" s="297">
        <f t="shared" si="0"/>
        <v>0</v>
      </c>
      <c r="J24" s="297">
        <f t="shared" si="0"/>
        <v>0</v>
      </c>
      <c r="K24" s="297">
        <f t="shared" si="0"/>
        <v>0</v>
      </c>
      <c r="L24" s="281"/>
      <c r="M24" s="285"/>
      <c r="N24" s="286"/>
    </row>
    <row r="25" spans="1:14" ht="13.5" thickBot="1">
      <c r="A25" s="298"/>
      <c r="B25" s="299" t="s">
        <v>476</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2" t="s">
        <v>464</v>
      </c>
    </row>
    <row r="28" spans="1:14" ht="15">
      <c r="A28" s="312"/>
    </row>
    <row r="29" spans="1:14" s="122" customFormat="1" ht="15.75">
      <c r="A29" s="122" t="s">
        <v>442</v>
      </c>
      <c r="H29" s="305">
        <f>H18+H19</f>
        <v>0</v>
      </c>
    </row>
    <row r="31" spans="1:14" s="306" customFormat="1" ht="15">
      <c r="A31" s="306" t="s">
        <v>465</v>
      </c>
      <c r="H31" s="307">
        <f>H23</f>
        <v>5461012</v>
      </c>
    </row>
    <row r="33" spans="1:8" s="308" customFormat="1" ht="15">
      <c r="A33" s="308" t="s">
        <v>443</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5"/>
  <sheetViews>
    <sheetView topLeftCell="D27" workbookViewId="0">
      <selection activeCell="I48" sqref="I48"/>
    </sheetView>
  </sheetViews>
  <sheetFormatPr defaultRowHeight="15.75"/>
  <cols>
    <col min="1" max="1" width="6.140625" style="24" customWidth="1"/>
    <col min="2" max="2" width="22" customWidth="1"/>
    <col min="3" max="18" width="11.28515625" customWidth="1"/>
  </cols>
  <sheetData>
    <row r="1" spans="1:79" ht="18">
      <c r="A1" s="255" t="s">
        <v>391</v>
      </c>
    </row>
    <row r="3" spans="1:79">
      <c r="A3" s="24" t="s">
        <v>385</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388</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389</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390</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392</v>
      </c>
      <c r="H9" s="253">
        <f>865.389</f>
        <v>865.38900000000001</v>
      </c>
    </row>
    <row r="10" spans="1:79">
      <c r="B10" t="s">
        <v>45</v>
      </c>
      <c r="G10" s="253">
        <f>G9</f>
        <v>0</v>
      </c>
      <c r="H10" s="253">
        <f t="shared" ref="H10:R10" si="2">H9+G10</f>
        <v>865.38900000000001</v>
      </c>
      <c r="I10" s="253">
        <f t="shared" si="2"/>
        <v>865.38900000000001</v>
      </c>
      <c r="J10" s="253">
        <f t="shared" si="2"/>
        <v>865.38900000000001</v>
      </c>
      <c r="K10" s="253">
        <f t="shared" si="2"/>
        <v>865.38900000000001</v>
      </c>
      <c r="L10" s="253">
        <f t="shared" si="2"/>
        <v>865.38900000000001</v>
      </c>
      <c r="M10" s="253">
        <f t="shared" si="2"/>
        <v>865.38900000000001</v>
      </c>
      <c r="N10" s="253">
        <f t="shared" si="2"/>
        <v>865.38900000000001</v>
      </c>
      <c r="O10" s="253">
        <f t="shared" si="2"/>
        <v>865.38900000000001</v>
      </c>
      <c r="P10" s="253">
        <f t="shared" si="2"/>
        <v>865.38900000000001</v>
      </c>
      <c r="Q10" s="253">
        <f t="shared" si="2"/>
        <v>865.38900000000001</v>
      </c>
      <c r="R10" s="253">
        <f t="shared" si="2"/>
        <v>865.38900000000001</v>
      </c>
    </row>
    <row r="11" spans="1:79" s="252" customFormat="1">
      <c r="A11" s="254"/>
      <c r="G11" s="252">
        <f>G10/$R$15</f>
        <v>0</v>
      </c>
      <c r="H11" s="252">
        <f>H10/$R$6</f>
        <v>1.4811482635763365E-2</v>
      </c>
      <c r="I11" s="252">
        <f t="shared" ref="I11:R11" si="3">I10/$R$6</f>
        <v>1.4811482635763365E-2</v>
      </c>
      <c r="J11" s="252">
        <f t="shared" si="3"/>
        <v>1.4811482635763365E-2</v>
      </c>
      <c r="K11" s="252">
        <f t="shared" si="3"/>
        <v>1.4811482635763365E-2</v>
      </c>
      <c r="L11" s="252">
        <f t="shared" si="3"/>
        <v>1.4811482635763365E-2</v>
      </c>
      <c r="M11" s="252">
        <f t="shared" si="3"/>
        <v>1.4811482635763365E-2</v>
      </c>
      <c r="N11" s="252">
        <f t="shared" si="3"/>
        <v>1.4811482635763365E-2</v>
      </c>
      <c r="O11" s="252">
        <f t="shared" si="3"/>
        <v>1.4811482635763365E-2</v>
      </c>
      <c r="P11" s="252">
        <f t="shared" si="3"/>
        <v>1.4811482635763365E-2</v>
      </c>
      <c r="Q11" s="252">
        <f t="shared" si="3"/>
        <v>1.4811482635763365E-2</v>
      </c>
      <c r="R11" s="252">
        <f t="shared" si="3"/>
        <v>1.4811482635763365E-2</v>
      </c>
    </row>
    <row r="12" spans="1:79">
      <c r="A12" s="24" t="s">
        <v>386</v>
      </c>
    </row>
    <row r="14" spans="1:79">
      <c r="B14" t="s">
        <v>388</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389</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390</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392</v>
      </c>
      <c r="G18" s="253">
        <v>0</v>
      </c>
      <c r="H18" s="253">
        <f>884.52-175.093</f>
        <v>709.42700000000002</v>
      </c>
    </row>
    <row r="19" spans="1:79">
      <c r="B19" t="s">
        <v>45</v>
      </c>
      <c r="G19" s="253">
        <f>G18</f>
        <v>0</v>
      </c>
      <c r="H19" s="253">
        <f>H18+G19</f>
        <v>709.42700000000002</v>
      </c>
      <c r="I19" s="253">
        <f t="shared" ref="I19:R19" si="6">I18+H19</f>
        <v>709.42700000000002</v>
      </c>
      <c r="J19" s="253">
        <f t="shared" si="6"/>
        <v>709.42700000000002</v>
      </c>
      <c r="K19" s="253">
        <f t="shared" si="6"/>
        <v>709.42700000000002</v>
      </c>
      <c r="L19" s="253">
        <f t="shared" si="6"/>
        <v>709.42700000000002</v>
      </c>
      <c r="M19" s="253">
        <f t="shared" si="6"/>
        <v>709.42700000000002</v>
      </c>
      <c r="N19" s="253">
        <f t="shared" si="6"/>
        <v>709.42700000000002</v>
      </c>
      <c r="O19" s="253">
        <f t="shared" si="6"/>
        <v>709.42700000000002</v>
      </c>
      <c r="P19" s="253">
        <f t="shared" si="6"/>
        <v>709.42700000000002</v>
      </c>
      <c r="Q19" s="253">
        <f t="shared" si="6"/>
        <v>709.42700000000002</v>
      </c>
      <c r="R19" s="253">
        <f t="shared" si="6"/>
        <v>709.42700000000002</v>
      </c>
    </row>
    <row r="20" spans="1:79" s="252" customFormat="1">
      <c r="A20" s="254"/>
      <c r="G20" s="252">
        <f>G19/$R$15</f>
        <v>0</v>
      </c>
      <c r="H20" s="252">
        <f t="shared" ref="H20:R20" si="7">H19/$R$15</f>
        <v>1.6995763989809544E-2</v>
      </c>
      <c r="I20" s="252">
        <f t="shared" si="7"/>
        <v>1.6995763989809544E-2</v>
      </c>
      <c r="J20" s="252">
        <f t="shared" si="7"/>
        <v>1.6995763989809544E-2</v>
      </c>
      <c r="K20" s="252">
        <f t="shared" si="7"/>
        <v>1.6995763989809544E-2</v>
      </c>
      <c r="L20" s="252">
        <f t="shared" si="7"/>
        <v>1.6995763989809544E-2</v>
      </c>
      <c r="M20" s="252">
        <f t="shared" si="7"/>
        <v>1.6995763989809544E-2</v>
      </c>
      <c r="N20" s="252">
        <f t="shared" si="7"/>
        <v>1.6995763989809544E-2</v>
      </c>
      <c r="O20" s="252">
        <f t="shared" si="7"/>
        <v>1.6995763989809544E-2</v>
      </c>
      <c r="P20" s="252">
        <f t="shared" si="7"/>
        <v>1.6995763989809544E-2</v>
      </c>
      <c r="Q20" s="252">
        <f t="shared" si="7"/>
        <v>1.6995763989809544E-2</v>
      </c>
      <c r="R20" s="252">
        <f t="shared" si="7"/>
        <v>1.6995763989809544E-2</v>
      </c>
    </row>
    <row r="21" spans="1:79" s="252" customFormat="1">
      <c r="A21" s="254"/>
    </row>
    <row r="23" spans="1:79">
      <c r="A23" s="24" t="s">
        <v>387</v>
      </c>
    </row>
    <row r="25" spans="1:79">
      <c r="B25" t="s">
        <v>388</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389</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390</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392</v>
      </c>
      <c r="G29" s="253">
        <v>0</v>
      </c>
      <c r="H29" s="253">
        <f>1018.28-214.458</f>
        <v>803.822</v>
      </c>
    </row>
    <row r="30" spans="1:79">
      <c r="B30" t="s">
        <v>45</v>
      </c>
      <c r="G30" s="253">
        <f>G29</f>
        <v>0</v>
      </c>
      <c r="H30" s="253">
        <f>H29+G30</f>
        <v>803.822</v>
      </c>
      <c r="I30" s="253">
        <f t="shared" ref="I30:R30" si="10">I29+H30</f>
        <v>803.822</v>
      </c>
      <c r="J30" s="253">
        <f t="shared" si="10"/>
        <v>803.822</v>
      </c>
      <c r="K30" s="253">
        <f t="shared" si="10"/>
        <v>803.822</v>
      </c>
      <c r="L30" s="253">
        <f t="shared" si="10"/>
        <v>803.822</v>
      </c>
      <c r="M30" s="253">
        <f t="shared" si="10"/>
        <v>803.822</v>
      </c>
      <c r="N30" s="253">
        <f t="shared" si="10"/>
        <v>803.822</v>
      </c>
      <c r="O30" s="253">
        <f t="shared" si="10"/>
        <v>803.822</v>
      </c>
      <c r="P30" s="253">
        <f t="shared" si="10"/>
        <v>803.822</v>
      </c>
      <c r="Q30" s="253">
        <f t="shared" si="10"/>
        <v>803.822</v>
      </c>
      <c r="R30" s="253">
        <f t="shared" si="10"/>
        <v>803.822</v>
      </c>
    </row>
    <row r="31" spans="1:79" s="252" customFormat="1">
      <c r="A31" s="254"/>
      <c r="G31" s="252">
        <f>G30/$R$26</f>
        <v>0</v>
      </c>
      <c r="H31" s="252">
        <f t="shared" ref="H31:R31" si="11">H30/$R$26</f>
        <v>2.1185117543348453E-2</v>
      </c>
      <c r="I31" s="252">
        <f t="shared" si="11"/>
        <v>2.1185117543348453E-2</v>
      </c>
      <c r="J31" s="252">
        <f t="shared" si="11"/>
        <v>2.1185117543348453E-2</v>
      </c>
      <c r="K31" s="252">
        <f t="shared" si="11"/>
        <v>2.1185117543348453E-2</v>
      </c>
      <c r="L31" s="252">
        <f t="shared" si="11"/>
        <v>2.1185117543348453E-2</v>
      </c>
      <c r="M31" s="252">
        <f t="shared" si="11"/>
        <v>2.1185117543348453E-2</v>
      </c>
      <c r="N31" s="252">
        <f t="shared" si="11"/>
        <v>2.1185117543348453E-2</v>
      </c>
      <c r="O31" s="252">
        <f t="shared" si="11"/>
        <v>2.1185117543348453E-2</v>
      </c>
      <c r="P31" s="252">
        <f t="shared" si="11"/>
        <v>2.1185117543348453E-2</v>
      </c>
      <c r="Q31" s="252">
        <f t="shared" si="11"/>
        <v>2.1185117543348453E-2</v>
      </c>
      <c r="R31" s="252">
        <f t="shared" si="11"/>
        <v>2.1185117543348453E-2</v>
      </c>
    </row>
    <row r="32" spans="1:79" s="252" customFormat="1">
      <c r="A32" s="254"/>
    </row>
    <row r="33" spans="1:79" s="252" customFormat="1">
      <c r="A33" s="254"/>
    </row>
    <row r="34" spans="1:79" s="252" customFormat="1">
      <c r="A34" s="254"/>
    </row>
    <row r="36" spans="1:79">
      <c r="A36" s="24" t="s">
        <v>393</v>
      </c>
    </row>
    <row r="37" spans="1:79">
      <c r="B37" t="s">
        <v>388</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389</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390</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392</v>
      </c>
      <c r="G41" s="253">
        <f>G29+G18+G9</f>
        <v>0</v>
      </c>
      <c r="H41" s="253">
        <f t="shared" ref="H41:R41" si="15">H29+H18+H9</f>
        <v>2378.6379999999999</v>
      </c>
      <c r="I41" s="253">
        <f t="shared" si="15"/>
        <v>0</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2378.6379999999999</v>
      </c>
      <c r="J42" s="253">
        <f t="shared" si="16"/>
        <v>2378.6379999999999</v>
      </c>
      <c r="K42" s="253">
        <f t="shared" si="16"/>
        <v>2378.6379999999999</v>
      </c>
      <c r="L42" s="253">
        <f t="shared" si="16"/>
        <v>2378.6379999999999</v>
      </c>
      <c r="M42" s="253">
        <f t="shared" si="16"/>
        <v>2378.6379999999999</v>
      </c>
      <c r="N42" s="253">
        <f t="shared" si="16"/>
        <v>2378.6379999999999</v>
      </c>
      <c r="O42" s="253">
        <f t="shared" si="16"/>
        <v>2378.6379999999999</v>
      </c>
      <c r="P42" s="253">
        <f t="shared" si="16"/>
        <v>2378.6379999999999</v>
      </c>
      <c r="Q42" s="253">
        <f t="shared" si="16"/>
        <v>2378.6379999999999</v>
      </c>
      <c r="R42" s="253">
        <f t="shared" si="16"/>
        <v>2378.6379999999999</v>
      </c>
    </row>
    <row r="43" spans="1:79" s="252" customFormat="1">
      <c r="A43" s="254"/>
      <c r="G43" s="252">
        <f>G42/$R$38</f>
        <v>0</v>
      </c>
      <c r="H43" s="252">
        <f t="shared" ref="H43:R43" si="17">H42/$R$38</f>
        <v>1.7222645762177437E-2</v>
      </c>
      <c r="I43" s="252">
        <f t="shared" si="17"/>
        <v>1.7222645762177437E-2</v>
      </c>
      <c r="J43" s="252">
        <f t="shared" si="17"/>
        <v>1.7222645762177437E-2</v>
      </c>
      <c r="K43" s="252">
        <f t="shared" si="17"/>
        <v>1.7222645762177437E-2</v>
      </c>
      <c r="L43" s="252">
        <f t="shared" si="17"/>
        <v>1.7222645762177437E-2</v>
      </c>
      <c r="M43" s="252">
        <f t="shared" si="17"/>
        <v>1.7222645762177437E-2</v>
      </c>
      <c r="N43" s="252">
        <f t="shared" si="17"/>
        <v>1.7222645762177437E-2</v>
      </c>
      <c r="O43" s="252">
        <f t="shared" si="17"/>
        <v>1.7222645762177437E-2</v>
      </c>
      <c r="P43" s="252">
        <f t="shared" si="17"/>
        <v>1.7222645762177437E-2</v>
      </c>
      <c r="Q43" s="252">
        <f t="shared" si="17"/>
        <v>1.7222645762177437E-2</v>
      </c>
      <c r="R43" s="252">
        <f t="shared" si="17"/>
        <v>1.7222645762177437E-2</v>
      </c>
    </row>
    <row r="45" spans="1:79">
      <c r="D45" t="s">
        <v>483</v>
      </c>
      <c r="I45" s="35">
        <f>I38-H42</f>
        <v>18363.010999999999</v>
      </c>
      <c r="J45" s="35">
        <f t="shared" ref="J45:R45" si="18">J38-I42</f>
        <v>42087.689999999995</v>
      </c>
      <c r="K45" s="35">
        <f t="shared" si="18"/>
        <v>70900.848999999987</v>
      </c>
      <c r="L45" s="35">
        <f t="shared" si="18"/>
        <v>95473.752999999982</v>
      </c>
      <c r="M45" s="35">
        <f t="shared" si="18"/>
        <v>111507.9</v>
      </c>
      <c r="N45" s="35">
        <f t="shared" si="18"/>
        <v>121510.94999999998</v>
      </c>
      <c r="O45" s="35">
        <f t="shared" si="18"/>
        <v>130019.97399999999</v>
      </c>
      <c r="P45" s="35">
        <f t="shared" si="18"/>
        <v>134090.96699999998</v>
      </c>
      <c r="Q45" s="35">
        <f t="shared" si="18"/>
        <v>135726.28</v>
      </c>
      <c r="R45" s="35">
        <f t="shared" si="18"/>
        <v>135732.43</v>
      </c>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74</v>
      </c>
    </row>
    <row r="2" spans="1:5" ht="18">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5" thickBot="1">
      <c r="A41" s="21" t="s">
        <v>104</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3"/>
  <sheetViews>
    <sheetView tabSelected="1" zoomScale="90" zoomScaleNormal="90" zoomScaleSheetLayoutView="100" workbookViewId="0"/>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58" width="0" hidden="1" customWidth="1"/>
  </cols>
  <sheetData>
    <row r="1" spans="1:29" ht="15.75">
      <c r="A1" s="174" t="s">
        <v>128</v>
      </c>
    </row>
    <row r="2" spans="1:29" ht="15.75">
      <c r="A2" s="174" t="s">
        <v>171</v>
      </c>
      <c r="G2" s="176"/>
      <c r="J2" s="177" t="s">
        <v>125</v>
      </c>
      <c r="O2" s="176">
        <f ca="1">NOW()</f>
        <v>36508.723468402779</v>
      </c>
    </row>
    <row r="3" spans="1:29" ht="15.75">
      <c r="A3" s="178" t="s">
        <v>191</v>
      </c>
      <c r="G3" s="176"/>
      <c r="J3" s="177"/>
      <c r="O3" s="176"/>
    </row>
    <row r="4" spans="1:29" ht="15.75">
      <c r="A4" s="174" t="s">
        <v>187</v>
      </c>
      <c r="J4" s="177" t="s">
        <v>126</v>
      </c>
      <c r="O4" s="98" t="s">
        <v>506</v>
      </c>
    </row>
    <row r="5" spans="1:29" ht="15.75">
      <c r="A5" s="178" t="s">
        <v>505</v>
      </c>
      <c r="I5" s="26"/>
      <c r="O5" s="179"/>
    </row>
    <row r="6" spans="1:29" ht="16.5" thickBot="1">
      <c r="A6" s="174"/>
      <c r="I6" s="26"/>
      <c r="O6" s="179"/>
    </row>
    <row r="7" spans="1:29" ht="16.5"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12/10/1999</v>
      </c>
      <c r="H9" s="182"/>
      <c r="I9" s="53" t="str">
        <f>+O4</f>
        <v xml:space="preserve"> As of 12/10/1999</v>
      </c>
      <c r="J9" s="182"/>
      <c r="K9" s="90" t="str">
        <f>+O4</f>
        <v xml:space="preserve"> As of 12/10/1999</v>
      </c>
      <c r="M9" s="28" t="s">
        <v>144</v>
      </c>
      <c r="O9" s="28" t="s">
        <v>47</v>
      </c>
    </row>
    <row r="10" spans="1:29">
      <c r="A10" s="180"/>
      <c r="C10" s="27"/>
      <c r="E10" s="180"/>
      <c r="G10" s="183"/>
      <c r="H10" s="182"/>
      <c r="I10" s="180"/>
      <c r="J10" s="182"/>
      <c r="K10" s="184"/>
      <c r="M10" s="180"/>
      <c r="O10" s="180"/>
    </row>
    <row r="11" spans="1:29">
      <c r="A11" s="185" t="s">
        <v>256</v>
      </c>
      <c r="C11" s="186">
        <v>608</v>
      </c>
      <c r="E11" s="188">
        <f>Wilton!R211/1000</f>
        <v>242526.88383346173</v>
      </c>
      <c r="F11" s="187"/>
      <c r="G11" s="189">
        <f>Wilton!BL211/1000</f>
        <v>137169.26197328288</v>
      </c>
      <c r="H11" s="182"/>
      <c r="I11" s="188">
        <f>K11-G11</f>
        <v>114298.34117017887</v>
      </c>
      <c r="J11" s="182"/>
      <c r="K11" s="190">
        <f>Wilton!BR211/1000</f>
        <v>251467.60314346175</v>
      </c>
      <c r="M11" s="188">
        <f>+E11-K11</f>
        <v>-8940.719310000015</v>
      </c>
      <c r="O11" s="191">
        <f>+G11/K11</f>
        <v>0.54547488526793686</v>
      </c>
    </row>
    <row r="12" spans="1:29">
      <c r="A12" s="192"/>
      <c r="C12" s="186"/>
      <c r="E12" s="193"/>
      <c r="F12" s="187"/>
      <c r="G12" s="194"/>
      <c r="H12" s="182"/>
      <c r="I12" s="193"/>
      <c r="J12" s="182"/>
      <c r="K12" s="195"/>
      <c r="M12" s="193"/>
      <c r="O12" s="196"/>
    </row>
    <row r="13" spans="1:29">
      <c r="A13" s="185" t="str">
        <f>Gleason!A3</f>
        <v>Gleason, TN</v>
      </c>
      <c r="C13" s="186">
        <v>509</v>
      </c>
      <c r="E13" s="188">
        <f>Gleason!R234/1000</f>
        <v>173680.22627115835</v>
      </c>
      <c r="F13" s="187"/>
      <c r="G13" s="189">
        <f>Gleason!BN234/1000</f>
        <v>105704.40707590617</v>
      </c>
      <c r="H13" s="182"/>
      <c r="I13" s="188">
        <f>K13-G13</f>
        <v>67357.273185252154</v>
      </c>
      <c r="J13" s="182"/>
      <c r="K13" s="190">
        <f>Gleason!BT234/1000</f>
        <v>173061.68026115833</v>
      </c>
      <c r="M13" s="188">
        <f>+E13-K13</f>
        <v>618.54601000002003</v>
      </c>
      <c r="O13" s="191">
        <f>+G13/K13</f>
        <v>0.61079036628093053</v>
      </c>
    </row>
    <row r="14" spans="1:29">
      <c r="A14" s="192"/>
      <c r="C14" s="186"/>
      <c r="E14" s="193"/>
      <c r="F14" s="187"/>
      <c r="G14" s="194"/>
      <c r="H14" s="182"/>
      <c r="I14" s="193"/>
      <c r="J14" s="182"/>
      <c r="K14" s="195"/>
      <c r="M14" s="193"/>
      <c r="O14" s="196"/>
    </row>
    <row r="15" spans="1:29">
      <c r="A15" s="185" t="s">
        <v>196</v>
      </c>
      <c r="C15" s="186">
        <v>470</v>
      </c>
      <c r="E15" s="188">
        <f>Wheatland!R207/1000</f>
        <v>161382.76147557603</v>
      </c>
      <c r="F15" s="187"/>
      <c r="G15" s="189">
        <f>Wheatland!BL207/1000</f>
        <v>94250.175293648659</v>
      </c>
      <c r="H15" s="182"/>
      <c r="I15" s="188">
        <f>K15-G15</f>
        <v>66933.568811927413</v>
      </c>
      <c r="J15" s="182"/>
      <c r="K15" s="190">
        <f>Wheatland!BR207/1000</f>
        <v>161183.74410557607</v>
      </c>
      <c r="M15" s="188">
        <f>+E15-K15</f>
        <v>199.01736999995774</v>
      </c>
      <c r="O15" s="191">
        <f>+G15/K15</f>
        <v>0.58473747347570215</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577589.87158019608</v>
      </c>
      <c r="F17" s="204"/>
      <c r="G17" s="205">
        <f>SUM(G11:G15)</f>
        <v>337123.84434283769</v>
      </c>
      <c r="H17" s="204"/>
      <c r="I17" s="203">
        <f>SUM(I11:I15)</f>
        <v>248589.18316735845</v>
      </c>
      <c r="J17" s="182"/>
      <c r="K17" s="206">
        <f>SUM(K11:K15)</f>
        <v>585713.0275101962</v>
      </c>
      <c r="L17" s="182"/>
      <c r="M17" s="203">
        <f>SUM(M10:M15)</f>
        <v>-8123.1559300000372</v>
      </c>
      <c r="N17" s="182"/>
      <c r="O17" s="207">
        <f>+G17/K17</f>
        <v>0.57557853165041473</v>
      </c>
    </row>
    <row r="18" spans="1:29" ht="13.5" thickBot="1">
      <c r="A18" s="208" t="s">
        <v>51</v>
      </c>
      <c r="B18" s="201"/>
      <c r="C18" s="208"/>
      <c r="D18" s="182"/>
      <c r="E18" s="209">
        <f>E17/C17</f>
        <v>363.95076974177448</v>
      </c>
      <c r="F18" s="204"/>
      <c r="G18" s="210"/>
      <c r="H18" s="211"/>
      <c r="I18" s="212"/>
      <c r="J18" s="213"/>
      <c r="K18" s="214">
        <f>+K17/C17</f>
        <v>369.06933050421941</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12/10/1999</v>
      </c>
      <c r="H22" s="182"/>
      <c r="I22" s="53" t="str">
        <f>I9</f>
        <v xml:space="preserve"> As of 12/10/1999</v>
      </c>
      <c r="J22" s="182"/>
      <c r="K22" s="90" t="str">
        <f>K9</f>
        <v xml:space="preserve"> As of 12/10/1999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12/10/1999</v>
      </c>
      <c r="H35" s="182"/>
      <c r="I35" s="53" t="str">
        <f>O4</f>
        <v xml:space="preserve"> As of 12/10/1999</v>
      </c>
      <c r="J35" s="182"/>
      <c r="K35" s="90" t="str">
        <f>O4</f>
        <v xml:space="preserve"> As of 12/10/1999</v>
      </c>
    </row>
    <row r="36" spans="1:29">
      <c r="A36" s="180"/>
      <c r="E36" s="180"/>
      <c r="G36" s="183"/>
      <c r="H36" s="182"/>
      <c r="I36" s="180"/>
      <c r="J36" s="182"/>
      <c r="K36" s="184"/>
    </row>
    <row r="37" spans="1:29">
      <c r="A37" s="185" t="s">
        <v>198</v>
      </c>
      <c r="E37" s="188"/>
      <c r="F37" s="187"/>
      <c r="G37" s="189">
        <f>Wilton!BL229/1000</f>
        <v>298.28197000000006</v>
      </c>
      <c r="H37" s="182"/>
      <c r="I37" s="188"/>
      <c r="J37" s="182"/>
      <c r="K37" s="190">
        <f>+I37+G37</f>
        <v>298.28197000000006</v>
      </c>
    </row>
    <row r="38" spans="1:29">
      <c r="A38" s="192"/>
      <c r="E38" s="193"/>
      <c r="F38" s="187"/>
      <c r="G38" s="194"/>
      <c r="H38" s="182"/>
      <c r="I38" s="193"/>
      <c r="J38" s="182"/>
      <c r="K38" s="195"/>
    </row>
    <row r="39" spans="1:29">
      <c r="A39" s="185" t="s">
        <v>298</v>
      </c>
      <c r="E39" s="188">
        <v>1513</v>
      </c>
      <c r="F39" s="187"/>
      <c r="G39" s="189">
        <f>'Calvert City'!BN205/1000</f>
        <v>1151.1854433333326</v>
      </c>
      <c r="H39" s="182"/>
      <c r="I39" s="188">
        <f>E39-G39</f>
        <v>361.81455666666739</v>
      </c>
      <c r="J39" s="182"/>
      <c r="K39" s="190">
        <f>+I39+G39</f>
        <v>1513</v>
      </c>
    </row>
    <row r="40" spans="1:29">
      <c r="A40" s="192"/>
      <c r="E40" s="193"/>
      <c r="F40" s="187"/>
      <c r="G40" s="194"/>
      <c r="H40" s="182"/>
      <c r="I40" s="193"/>
      <c r="J40" s="182"/>
      <c r="K40" s="195"/>
    </row>
    <row r="41" spans="1:29">
      <c r="A41" s="185" t="s">
        <v>201</v>
      </c>
      <c r="E41" s="188"/>
      <c r="F41" s="187"/>
      <c r="G41" s="189">
        <f>Wheatland!BL225/1000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5" thickBot="1">
      <c r="A43" s="208" t="s">
        <v>50</v>
      </c>
      <c r="B43" s="201"/>
      <c r="D43" s="182"/>
      <c r="E43" s="209">
        <f>SUM(E37:E41)</f>
        <v>1513</v>
      </c>
      <c r="F43" s="204"/>
      <c r="G43" s="210">
        <f>SUM(G37:G41)</f>
        <v>1464.5674133333325</v>
      </c>
      <c r="H43" s="211"/>
      <c r="I43" s="212">
        <f>SUM(I37:I41)</f>
        <v>361.81455666666739</v>
      </c>
      <c r="J43" s="213"/>
      <c r="K43" s="214">
        <f>SUM(K37:K41)</f>
        <v>1826.3819699999999</v>
      </c>
      <c r="L43" s="182"/>
    </row>
    <row r="44" spans="1:29" ht="13.5" thickBot="1"/>
    <row r="45" spans="1:29" ht="13.5" thickBot="1">
      <c r="A45" s="401" t="s">
        <v>207</v>
      </c>
      <c r="B45" s="402"/>
      <c r="C45" s="402"/>
      <c r="D45" s="402"/>
      <c r="E45" s="402"/>
      <c r="F45" s="402"/>
      <c r="G45" s="402"/>
      <c r="H45" s="402"/>
      <c r="I45" s="402"/>
      <c r="J45" s="402"/>
      <c r="K45" s="40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5" thickBot="1">
      <c r="A50"/>
      <c r="B50"/>
      <c r="C50"/>
      <c r="D50"/>
      <c r="E50"/>
      <c r="F50"/>
      <c r="G50"/>
      <c r="H50"/>
      <c r="I50"/>
      <c r="J50"/>
      <c r="K50"/>
      <c r="L50"/>
      <c r="M50"/>
      <c r="N50"/>
      <c r="O50"/>
    </row>
    <row r="51" spans="1:15" s="234" customFormat="1" hidden="1">
      <c r="O51" s="233"/>
    </row>
    <row r="52" spans="1:15" hidden="1"/>
    <row r="53" spans="1:15" ht="13.5" hidden="1" thickBot="1"/>
    <row r="54" spans="1:15" ht="13.5" thickBot="1">
      <c r="A54" s="401" t="s">
        <v>143</v>
      </c>
      <c r="B54" s="402"/>
      <c r="C54" s="402"/>
      <c r="D54" s="402"/>
      <c r="E54" s="402"/>
      <c r="F54" s="402"/>
      <c r="G54" s="402"/>
      <c r="H54" s="402"/>
      <c r="I54" s="402"/>
      <c r="J54" s="402"/>
      <c r="K54" s="402"/>
      <c r="L54" s="163"/>
      <c r="M54" s="163"/>
      <c r="N54" s="163"/>
      <c r="O54" s="164"/>
    </row>
    <row r="56" spans="1:15">
      <c r="J56" s="219"/>
    </row>
    <row r="57" spans="1:15">
      <c r="A57" s="228" t="s">
        <v>256</v>
      </c>
      <c r="C57" s="229">
        <f>Wilton!BT195/1000</f>
        <v>-207.06</v>
      </c>
      <c r="E57" s="219" t="s">
        <v>283</v>
      </c>
      <c r="F57" s="219"/>
      <c r="G57" s="219"/>
      <c r="H57" s="219"/>
      <c r="I57" s="219"/>
      <c r="J57" s="219"/>
    </row>
    <row r="58" spans="1:15">
      <c r="A58" s="182"/>
      <c r="C58" s="229">
        <f>Wilton!BT123/1000</f>
        <v>-7699.2380000000003</v>
      </c>
      <c r="E58" s="175" t="s">
        <v>480</v>
      </c>
    </row>
    <row r="59" spans="1:15">
      <c r="A59" s="182"/>
      <c r="C59" s="229">
        <f>Wilton!BT12/1000</f>
        <v>-1832</v>
      </c>
      <c r="E59" s="175" t="s">
        <v>378</v>
      </c>
    </row>
    <row r="60" spans="1:15">
      <c r="A60" s="182"/>
      <c r="C60" s="229">
        <f>Wilton!BT15/1000</f>
        <v>-37.448</v>
      </c>
      <c r="E60" s="175" t="s">
        <v>382</v>
      </c>
    </row>
    <row r="61" spans="1:15">
      <c r="A61" s="182"/>
      <c r="C61" s="229">
        <v>-3000</v>
      </c>
      <c r="E61" s="175" t="s">
        <v>379</v>
      </c>
    </row>
    <row r="62" spans="1:15">
      <c r="A62" s="182"/>
      <c r="C62" s="229">
        <f>(Wilton!BT166+Wilton!BT133)/1000</f>
        <v>-30.818140000000131</v>
      </c>
      <c r="E62" s="175" t="s">
        <v>380</v>
      </c>
    </row>
    <row r="63" spans="1:15">
      <c r="A63" s="182"/>
      <c r="C63" s="229">
        <f>(Wilton!BT196/1000)-Summary!C57+(Wilton!BR194/1000)</f>
        <v>-234.96553000000006</v>
      </c>
      <c r="E63" s="175" t="s">
        <v>508</v>
      </c>
    </row>
    <row r="64" spans="1:15">
      <c r="A64" s="182"/>
      <c r="C64" s="229">
        <f>-Wilton!BR194/1000</f>
        <v>-191.01289000000003</v>
      </c>
      <c r="E64" s="175" t="s">
        <v>509</v>
      </c>
    </row>
    <row r="65" spans="1:12">
      <c r="A65" s="182"/>
      <c r="C65" s="319">
        <v>4408.0720000000001</v>
      </c>
      <c r="E65" s="182" t="s">
        <v>381</v>
      </c>
      <c r="F65" s="182"/>
      <c r="G65" s="182"/>
      <c r="H65" s="182"/>
      <c r="I65" s="182"/>
    </row>
    <row r="66" spans="1:12">
      <c r="A66" s="182"/>
      <c r="C66" s="319">
        <f>Wilton!BT185/1000</f>
        <v>-116.24850000000001</v>
      </c>
      <c r="E66" s="182" t="s">
        <v>503</v>
      </c>
      <c r="F66" s="182"/>
      <c r="G66" s="182"/>
      <c r="H66" s="182"/>
      <c r="I66" s="182"/>
    </row>
    <row r="67" spans="1:12" ht="13.5" thickBot="1">
      <c r="A67" s="182"/>
      <c r="C67" s="328">
        <f>SUM(C57:C66)</f>
        <v>-8940.7190599999994</v>
      </c>
      <c r="D67" s="322"/>
      <c r="E67" s="323" t="s">
        <v>482</v>
      </c>
      <c r="F67" s="322"/>
      <c r="G67" s="322"/>
      <c r="H67" s="322"/>
      <c r="I67" s="322"/>
      <c r="J67" s="322"/>
      <c r="K67" s="322"/>
      <c r="L67" s="182"/>
    </row>
    <row r="68" spans="1:12" ht="13.5" thickTop="1">
      <c r="A68" s="182"/>
      <c r="C68" s="229"/>
    </row>
    <row r="69" spans="1:12">
      <c r="A69" s="182"/>
      <c r="C69" s="229"/>
    </row>
    <row r="70" spans="1:12">
      <c r="A70" s="228" t="s">
        <v>299</v>
      </c>
      <c r="C70" s="229">
        <f>Gleason!BV218/1000</f>
        <v>-223.21618000000001</v>
      </c>
      <c r="E70" s="219" t="s">
        <v>283</v>
      </c>
      <c r="F70" s="219"/>
      <c r="G70" s="219"/>
      <c r="H70" s="219"/>
      <c r="I70" s="219"/>
    </row>
    <row r="71" spans="1:12">
      <c r="A71" s="228"/>
      <c r="C71" s="319">
        <f>Gleason!BV128/1000</f>
        <v>-2829.6995599999996</v>
      </c>
      <c r="D71" s="182"/>
      <c r="E71" s="175" t="s">
        <v>480</v>
      </c>
      <c r="F71" s="217"/>
      <c r="G71" s="217"/>
      <c r="H71" s="217"/>
      <c r="I71" s="217"/>
      <c r="J71" s="182"/>
      <c r="K71" s="182"/>
    </row>
    <row r="72" spans="1:12">
      <c r="A72" s="228"/>
      <c r="C72" s="319">
        <f>Gleason!BV16/1000</f>
        <v>-1743.1010000000001</v>
      </c>
      <c r="E72" s="175" t="s">
        <v>378</v>
      </c>
      <c r="F72" s="217"/>
      <c r="G72" s="217"/>
      <c r="H72" s="217"/>
      <c r="I72" s="217"/>
      <c r="J72" s="182"/>
      <c r="K72" s="182"/>
    </row>
    <row r="73" spans="1:12">
      <c r="A73" s="228"/>
      <c r="C73" s="319">
        <f>Gleason!BV33/1000</f>
        <v>-8</v>
      </c>
      <c r="E73" s="175" t="s">
        <v>511</v>
      </c>
      <c r="F73" s="217"/>
      <c r="G73" s="217"/>
      <c r="H73" s="217"/>
      <c r="I73" s="217"/>
      <c r="J73" s="182"/>
      <c r="K73" s="182"/>
    </row>
    <row r="74" spans="1:12">
      <c r="A74" s="228"/>
      <c r="C74" s="248">
        <f>Gleason!BV230/1000</f>
        <v>5423.4979999999996</v>
      </c>
      <c r="D74" s="249"/>
      <c r="E74" s="249" t="s">
        <v>381</v>
      </c>
      <c r="F74" s="318"/>
      <c r="G74" s="318"/>
      <c r="H74" s="318"/>
      <c r="I74" s="318"/>
      <c r="J74" s="249"/>
      <c r="K74" s="249"/>
    </row>
    <row r="75" spans="1:12">
      <c r="A75" s="228"/>
      <c r="C75" s="329">
        <f>SUM(C70:C74)</f>
        <v>619.48126000000047</v>
      </c>
      <c r="D75" s="182"/>
      <c r="E75" s="330" t="s">
        <v>478</v>
      </c>
      <c r="F75" s="217"/>
      <c r="G75" s="217"/>
      <c r="H75" s="217"/>
      <c r="I75" s="217"/>
      <c r="J75" s="182"/>
      <c r="K75" s="182"/>
    </row>
    <row r="76" spans="1:12">
      <c r="A76" s="182"/>
      <c r="C76" s="229"/>
      <c r="E76" s="219"/>
      <c r="F76" s="219"/>
      <c r="G76" s="219"/>
      <c r="H76" s="219"/>
      <c r="I76" s="219"/>
    </row>
    <row r="77" spans="1:12">
      <c r="A77" s="182"/>
      <c r="C77" s="229">
        <f>-1615.799</f>
        <v>-1615.799</v>
      </c>
      <c r="E77" s="175" t="s">
        <v>477</v>
      </c>
    </row>
    <row r="78" spans="1:12" ht="13.5" thickBot="1">
      <c r="A78" s="182"/>
      <c r="C78" s="327">
        <f>SUM(C75:C77)</f>
        <v>-996.3177399999995</v>
      </c>
      <c r="D78" s="322"/>
      <c r="E78" s="323" t="s">
        <v>482</v>
      </c>
      <c r="F78" s="322"/>
      <c r="G78" s="324"/>
      <c r="H78" s="325"/>
      <c r="I78" s="326"/>
      <c r="J78" s="322"/>
      <c r="K78" s="322"/>
    </row>
    <row r="79" spans="1:12" ht="13.5" thickTop="1">
      <c r="A79" s="182"/>
      <c r="C79" s="229"/>
      <c r="E79" s="219"/>
      <c r="F79" s="219"/>
      <c r="G79" s="219"/>
      <c r="H79" s="219"/>
      <c r="I79" s="219"/>
    </row>
    <row r="80" spans="1:12">
      <c r="A80" s="228" t="s">
        <v>196</v>
      </c>
      <c r="C80" s="229">
        <f>Wheatland!BT191/1000</f>
        <v>-159.23316999999997</v>
      </c>
      <c r="E80" s="219" t="s">
        <v>283</v>
      </c>
    </row>
    <row r="81" spans="1:15">
      <c r="C81" s="229">
        <f>Wheatland!BT123/1000</f>
        <v>-2055.6635499999998</v>
      </c>
      <c r="E81" s="175" t="s">
        <v>481</v>
      </c>
    </row>
    <row r="82" spans="1:15">
      <c r="A82" s="232"/>
      <c r="B82" s="233"/>
      <c r="C82" s="229">
        <f>Wheatland!BT12/1000</f>
        <v>-297.80099999999999</v>
      </c>
      <c r="D82" s="233"/>
      <c r="E82" s="175" t="s">
        <v>378</v>
      </c>
      <c r="F82" s="233"/>
      <c r="G82" s="233"/>
      <c r="H82" s="233"/>
      <c r="I82" s="233"/>
      <c r="J82" s="233"/>
      <c r="K82" s="233"/>
      <c r="L82" s="233"/>
      <c r="M82" s="233"/>
      <c r="N82" s="233"/>
    </row>
    <row r="83" spans="1:15">
      <c r="C83" s="229">
        <f>Wheatland!BT32/1000</f>
        <v>-78.48</v>
      </c>
      <c r="E83" s="175" t="s">
        <v>382</v>
      </c>
    </row>
    <row r="84" spans="1:15">
      <c r="C84" s="229">
        <f>Wheatland!BT162/1000</f>
        <v>-342.94400000000002</v>
      </c>
      <c r="E84" s="175" t="s">
        <v>466</v>
      </c>
    </row>
    <row r="85" spans="1:15">
      <c r="C85" s="229">
        <f>Wheatland!BT190/1000</f>
        <v>-191.01291000000001</v>
      </c>
      <c r="E85" s="175" t="s">
        <v>509</v>
      </c>
    </row>
    <row r="86" spans="1:15">
      <c r="A86" s="232"/>
      <c r="B86" s="233"/>
      <c r="C86" s="248">
        <v>3324.1521000000002</v>
      </c>
      <c r="D86" s="233"/>
      <c r="E86" s="249" t="s">
        <v>381</v>
      </c>
      <c r="F86" s="320"/>
      <c r="G86" s="320"/>
      <c r="H86" s="320"/>
      <c r="I86" s="320"/>
      <c r="J86" s="233"/>
      <c r="K86" s="233"/>
      <c r="L86" s="233"/>
      <c r="M86" s="233"/>
    </row>
    <row r="87" spans="1:15" ht="14.25" customHeight="1">
      <c r="C87" s="321">
        <f>SUM(C80:C86)</f>
        <v>199.01747000000069</v>
      </c>
      <c r="E87" s="175" t="s">
        <v>479</v>
      </c>
    </row>
    <row r="89" spans="1:15">
      <c r="C89" s="229">
        <v>-3405.6480000000001</v>
      </c>
      <c r="E89" s="175" t="s">
        <v>477</v>
      </c>
    </row>
    <row r="90" spans="1:15" ht="13.5" thickBot="1">
      <c r="C90" s="327">
        <f>SUM(C87:C89)</f>
        <v>-3206.6305299999995</v>
      </c>
      <c r="D90" s="322"/>
      <c r="E90" s="323" t="s">
        <v>482</v>
      </c>
      <c r="F90" s="322"/>
      <c r="G90" s="324"/>
      <c r="H90" s="325"/>
      <c r="I90" s="326"/>
      <c r="J90" s="322"/>
      <c r="K90" s="322"/>
      <c r="L90" s="182"/>
      <c r="M90" s="182"/>
      <c r="N90" s="182"/>
      <c r="O90" s="220"/>
    </row>
    <row r="91" spans="1:15" ht="13.5" thickTop="1"/>
    <row r="92" spans="1:15">
      <c r="B92" s="26"/>
      <c r="C92" s="177"/>
    </row>
    <row r="93" spans="1:15">
      <c r="A93" s="221" t="str">
        <f ca="1">CELL("FILENAME")</f>
        <v>O:\Fin_Ops\Engysvc\PowerPlants\2000 Plants\Weekly Report\[2000 Weekly Report - 121499.xls]Summary</v>
      </c>
      <c r="B93" s="177"/>
      <c r="C93" s="177"/>
    </row>
  </sheetData>
  <mergeCells count="2">
    <mergeCell ref="A54:K54"/>
    <mergeCell ref="A45:K45"/>
  </mergeCells>
  <printOptions horizontalCentered="1"/>
  <pageMargins left="0.25" right="0.25" top="0.5" bottom="0.5" header="0.5" footer="0.5"/>
  <pageSetup scale="5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5"/>
  <sheetViews>
    <sheetView zoomScale="66" zoomScaleNormal="66" workbookViewId="0">
      <pane xSplit="19" ySplit="8" topLeftCell="BL159" activePane="bottomRight" state="frozen"/>
      <selection pane="topRight"/>
      <selection pane="bottomLeft"/>
      <selection pane="bottomRight" activeCell="R159" sqref="R159"/>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- 121499.xls]Summary</v>
      </c>
    </row>
    <row r="3" spans="1:74" s="18" customFormat="1" ht="15.75">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36508.723468402779</v>
      </c>
      <c r="BR3" s="23"/>
      <c r="BT3" s="78" t="str">
        <f>Summary!A5</f>
        <v>Revision # 38</v>
      </c>
    </row>
    <row r="4" spans="1:74" s="18" customFormat="1" ht="15.75">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c r="AJ7" s="82" t="str">
        <f>+Summary!$O$4</f>
        <v xml:space="preserve"> As of 12/10/1999</v>
      </c>
      <c r="AK7"/>
      <c r="AL7" s="82" t="str">
        <f>+Summary!$O$4</f>
        <v xml:space="preserve"> As of 12/10/1999</v>
      </c>
      <c r="AM7"/>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82"/>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L7" s="71" t="str">
        <f>+Summary!$O$4</f>
        <v xml:space="preserve"> As of 12/10/1999</v>
      </c>
      <c r="BN7" s="64" t="str">
        <f>+Summary!$O$4</f>
        <v xml:space="preserve"> As of 12/10/1999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11376658.75</v>
      </c>
      <c r="AT9" s="6">
        <v>0</v>
      </c>
      <c r="AV9" s="6">
        <v>0</v>
      </c>
      <c r="AX9" s="6">
        <v>0</v>
      </c>
      <c r="AZ9" s="6">
        <v>0</v>
      </c>
      <c r="BB9" s="6">
        <v>0</v>
      </c>
      <c r="BD9" s="6">
        <v>0</v>
      </c>
      <c r="BF9" s="6">
        <v>0</v>
      </c>
      <c r="BH9" s="6">
        <v>0</v>
      </c>
      <c r="BJ9" s="6">
        <v>0</v>
      </c>
      <c r="BK9" s="6"/>
      <c r="BL9" s="6">
        <f>SUM(T9:BK9)</f>
        <v>108324517.19</v>
      </c>
      <c r="BM9" s="6"/>
      <c r="BN9" s="6">
        <f>142064940-R9-192000</f>
        <v>1832000</v>
      </c>
      <c r="BO9" s="6"/>
      <c r="BP9" s="6">
        <f>IF(+R9-BL9+BN9&gt;0,R9-BL9+BN9,0)</f>
        <v>33548422.810000002</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11376658.75</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108324517.19</v>
      </c>
      <c r="BM12" s="6"/>
      <c r="BN12" s="101">
        <f>SUM(BN9:BN11)</f>
        <v>1832000</v>
      </c>
      <c r="BO12" s="6"/>
      <c r="BP12" s="101">
        <f>SUM(BP9:BP11)</f>
        <v>33740422.810000002</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13151473.15</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113057355.59</v>
      </c>
      <c r="BM33" s="115"/>
      <c r="BN33" s="115">
        <f>+BN31+BN12</f>
        <v>1869448</v>
      </c>
      <c r="BO33" s="115"/>
      <c r="BP33" s="115">
        <f>+BP31+BP12</f>
        <v>34923632.410000004</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BJ39" s="6"/>
      <c r="BK39" s="6"/>
      <c r="BL39" s="6">
        <f t="shared" ref="BL39:BL54" si="5">SUM(T39:BK39)</f>
        <v>11510</v>
      </c>
      <c r="BM39" s="6"/>
      <c r="BN39" s="6">
        <f>1879067-1538981</f>
        <v>340086</v>
      </c>
      <c r="BO39" s="6"/>
      <c r="BP39" s="6">
        <f t="shared" ref="BP39:BP54" si="6">IF(+R39-BL39+BN39&gt;0,R39-BL39+BN39,0)</f>
        <v>1867557</v>
      </c>
      <c r="BR39" s="6">
        <f t="shared" ref="BR39:BR54" si="7">+BL39+BP39</f>
        <v>1879067</v>
      </c>
      <c r="BT39" s="6">
        <f>+R39-BR39</f>
        <v>-340086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BJ40" s="6"/>
      <c r="BK40" s="6"/>
      <c r="BL40" s="6">
        <f t="shared" si="5"/>
        <v>87721</v>
      </c>
      <c r="BM40" s="6"/>
      <c r="BN40" s="6">
        <f>2245145-1608142</f>
        <v>637003</v>
      </c>
      <c r="BO40" s="6"/>
      <c r="BP40" s="6">
        <f t="shared" si="6"/>
        <v>2157424</v>
      </c>
      <c r="BR40" s="6">
        <f t="shared" si="7"/>
        <v>2245145</v>
      </c>
      <c r="BT40" s="6">
        <f t="shared" ref="BT40:BT53" si="8">+R40-BR40</f>
        <v>-637003</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BJ41" s="6"/>
      <c r="BK41" s="6"/>
      <c r="BL41" s="6">
        <f t="shared" si="5"/>
        <v>261</v>
      </c>
      <c r="BM41" s="6"/>
      <c r="BN41" s="6">
        <f>1556100-1028779</f>
        <v>527321</v>
      </c>
      <c r="BO41" s="6"/>
      <c r="BP41" s="6">
        <f t="shared" si="6"/>
        <v>1555839</v>
      </c>
      <c r="BR41" s="6">
        <f t="shared" si="7"/>
        <v>1556100</v>
      </c>
      <c r="BT41" s="6">
        <f t="shared" si="8"/>
        <v>-527321</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BJ42" s="6"/>
      <c r="BK42" s="6"/>
      <c r="BL42" s="6">
        <f t="shared" si="5"/>
        <v>21574</v>
      </c>
      <c r="BM42" s="6"/>
      <c r="BN42" s="6">
        <f>760584-648235</f>
        <v>112349</v>
      </c>
      <c r="BO42" s="6"/>
      <c r="BP42" s="6">
        <f t="shared" si="6"/>
        <v>739010</v>
      </c>
      <c r="BR42" s="6">
        <f t="shared" si="7"/>
        <v>760584</v>
      </c>
      <c r="BT42" s="6">
        <f t="shared" si="8"/>
        <v>-112349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BJ43" s="6"/>
      <c r="BK43" s="6"/>
      <c r="BL43" s="6">
        <f t="shared" si="5"/>
        <v>247412</v>
      </c>
      <c r="BM43" s="6"/>
      <c r="BN43" s="6">
        <f>2782714-8261165</f>
        <v>-5478451</v>
      </c>
      <c r="BO43" s="6"/>
      <c r="BP43" s="6">
        <f t="shared" si="6"/>
        <v>2535302</v>
      </c>
      <c r="BR43" s="6">
        <f t="shared" si="7"/>
        <v>2782714</v>
      </c>
      <c r="BT43" s="6">
        <f t="shared" si="8"/>
        <v>5478451</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BJ44" s="6"/>
      <c r="BK44" s="6"/>
      <c r="BL44" s="6">
        <f t="shared" si="5"/>
        <v>37545</v>
      </c>
      <c r="BM44" s="6"/>
      <c r="BN44" s="6">
        <v>0</v>
      </c>
      <c r="BO44" s="6"/>
      <c r="BP44" s="6">
        <f t="shared" si="6"/>
        <v>71577</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BJ45" s="6"/>
      <c r="BK45" s="6"/>
      <c r="BL45" s="6">
        <f t="shared" si="5"/>
        <v>128235</v>
      </c>
      <c r="BM45" s="6"/>
      <c r="BN45" s="6">
        <f>855447-745651</f>
        <v>109796</v>
      </c>
      <c r="BO45" s="6"/>
      <c r="BP45" s="6">
        <f t="shared" si="6"/>
        <v>727212</v>
      </c>
      <c r="BR45" s="6">
        <f t="shared" si="7"/>
        <v>855447</v>
      </c>
      <c r="BT45" s="6">
        <f t="shared" si="8"/>
        <v>-109796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v>0</v>
      </c>
      <c r="AT46" s="6">
        <v>0</v>
      </c>
      <c r="AV46" s="6">
        <v>0</v>
      </c>
      <c r="AX46" s="6">
        <v>0</v>
      </c>
      <c r="AZ46" s="6">
        <v>0</v>
      </c>
      <c r="BB46" s="6">
        <v>0</v>
      </c>
      <c r="BD46" s="6">
        <v>0</v>
      </c>
      <c r="BF46" s="6">
        <v>0</v>
      </c>
      <c r="BH46" s="6">
        <v>0</v>
      </c>
      <c r="BJ46" s="6">
        <v>0</v>
      </c>
      <c r="BK46" s="6"/>
      <c r="BL46" s="6">
        <f t="shared" si="5"/>
        <v>27859</v>
      </c>
      <c r="BM46" s="6"/>
      <c r="BN46" s="6">
        <f>635306-256827</f>
        <v>378479</v>
      </c>
      <c r="BO46" s="6"/>
      <c r="BP46" s="6">
        <f t="shared" si="6"/>
        <v>607447</v>
      </c>
      <c r="BR46" s="6">
        <f t="shared" si="7"/>
        <v>635306</v>
      </c>
      <c r="BT46" s="6">
        <f t="shared" si="8"/>
        <v>-378479</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v>0</v>
      </c>
      <c r="AT47" s="6">
        <v>0</v>
      </c>
      <c r="AV47" s="6">
        <v>0</v>
      </c>
      <c r="AX47" s="6">
        <v>0</v>
      </c>
      <c r="AZ47" s="6">
        <v>0</v>
      </c>
      <c r="BB47" s="6">
        <v>0</v>
      </c>
      <c r="BD47" s="6">
        <v>0</v>
      </c>
      <c r="BF47" s="6">
        <v>0</v>
      </c>
      <c r="BH47" s="6">
        <v>0</v>
      </c>
      <c r="BJ47" s="6">
        <v>0</v>
      </c>
      <c r="BK47" s="6"/>
      <c r="BL47" s="6">
        <f t="shared" si="5"/>
        <v>107400</v>
      </c>
      <c r="BM47" s="6"/>
      <c r="BN47" s="6">
        <f>180330-3697897</f>
        <v>-3517567</v>
      </c>
      <c r="BO47" s="6"/>
      <c r="BP47" s="6">
        <f t="shared" si="6"/>
        <v>72930</v>
      </c>
      <c r="BR47" s="6">
        <f t="shared" si="7"/>
        <v>180330</v>
      </c>
      <c r="BT47" s="6">
        <f t="shared" si="8"/>
        <v>3517567</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v>0</v>
      </c>
      <c r="AT48" s="6">
        <v>0</v>
      </c>
      <c r="AV48" s="6">
        <v>0</v>
      </c>
      <c r="AX48" s="6">
        <v>0</v>
      </c>
      <c r="AZ48" s="6">
        <v>0</v>
      </c>
      <c r="BB48" s="6">
        <v>0</v>
      </c>
      <c r="BD48" s="6">
        <v>0</v>
      </c>
      <c r="BF48" s="6">
        <v>0</v>
      </c>
      <c r="BH48" s="6">
        <v>0</v>
      </c>
      <c r="BJ48" s="6">
        <v>0</v>
      </c>
      <c r="BK48" s="6"/>
      <c r="BL48" s="6">
        <f t="shared" si="5"/>
        <v>192524</v>
      </c>
      <c r="BM48" s="6"/>
      <c r="BN48" s="6">
        <f>559611-302496</f>
        <v>257115</v>
      </c>
      <c r="BO48" s="6"/>
      <c r="BP48" s="6">
        <f t="shared" si="6"/>
        <v>367087</v>
      </c>
      <c r="BR48" s="6">
        <f t="shared" si="7"/>
        <v>559611</v>
      </c>
      <c r="BT48" s="6">
        <f t="shared" si="8"/>
        <v>-257115</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v>0</v>
      </c>
      <c r="AT49" s="6">
        <v>0</v>
      </c>
      <c r="AV49" s="6">
        <v>0</v>
      </c>
      <c r="AX49" s="6">
        <v>0</v>
      </c>
      <c r="AZ49" s="6">
        <v>0</v>
      </c>
      <c r="BB49" s="6">
        <v>0</v>
      </c>
      <c r="BD49" s="6">
        <v>0</v>
      </c>
      <c r="BF49" s="6">
        <v>0</v>
      </c>
      <c r="BH49" s="6">
        <v>0</v>
      </c>
      <c r="BJ49" s="6">
        <v>0</v>
      </c>
      <c r="BK49" s="6"/>
      <c r="BL49" s="6">
        <f t="shared" si="5"/>
        <v>47</v>
      </c>
      <c r="BM49" s="6"/>
      <c r="BN49" s="6">
        <f>478798-274200</f>
        <v>204598</v>
      </c>
      <c r="BO49" s="6"/>
      <c r="BP49" s="6">
        <f t="shared" si="6"/>
        <v>478751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221198-104121</f>
        <v>117077</v>
      </c>
      <c r="BO51" s="6"/>
      <c r="BP51" s="6">
        <f t="shared" si="6"/>
        <v>221198</v>
      </c>
      <c r="BR51" s="6">
        <f t="shared" si="7"/>
        <v>221198</v>
      </c>
      <c r="BT51" s="6">
        <f t="shared" si="8"/>
        <v>-117077</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0</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862088</v>
      </c>
      <c r="BM55" s="9">
        <f t="shared" si="9"/>
        <v>0</v>
      </c>
      <c r="BN55" s="9">
        <f t="shared" si="9"/>
        <v>-6476442</v>
      </c>
      <c r="BO55" s="9">
        <f t="shared" si="9"/>
        <v>0</v>
      </c>
      <c r="BP55" s="9">
        <f t="shared" si="9"/>
        <v>11466334</v>
      </c>
      <c r="BQ55" s="9">
        <f t="shared" si="9"/>
        <v>0</v>
      </c>
      <c r="BR55" s="9">
        <f t="shared" si="9"/>
        <v>12328422</v>
      </c>
      <c r="BS55" s="9">
        <f t="shared" si="9"/>
        <v>0</v>
      </c>
      <c r="BT55" s="9">
        <f t="shared" si="9"/>
        <v>6476442</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BJ58" s="6"/>
      <c r="BK58" s="6"/>
      <c r="BL58" s="6">
        <f t="shared" ref="BL58:BL80" si="10">SUM(T58:BK58)</f>
        <v>0</v>
      </c>
      <c r="BM58" s="6"/>
      <c r="BN58" s="6">
        <f>436191-410304</f>
        <v>25887</v>
      </c>
      <c r="BO58" s="6"/>
      <c r="BP58" s="6">
        <f>IF(+R58-BL58+BN58&gt;0,R58-BL58+BN58,0)</f>
        <v>436191</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BJ59" s="6"/>
      <c r="BK59" s="6"/>
      <c r="BL59" s="6">
        <f t="shared" si="10"/>
        <v>0</v>
      </c>
      <c r="BM59" s="6"/>
      <c r="BN59" s="6">
        <f>683926-556642</f>
        <v>127284</v>
      </c>
      <c r="BO59" s="6"/>
      <c r="BP59" s="6">
        <f t="shared" ref="BP59:BP80" si="11">IF(+R59-BL59+BN59&gt;0,R59-BL59+BN59,0)</f>
        <v>683926</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BJ61" s="6"/>
      <c r="BK61" s="6"/>
      <c r="BL61" s="6">
        <f t="shared" si="10"/>
        <v>0</v>
      </c>
      <c r="BM61" s="6"/>
      <c r="BN61" s="6">
        <f>187150-24750</f>
        <v>162400</v>
      </c>
      <c r="BO61" s="6"/>
      <c r="BP61" s="6">
        <f t="shared" si="11"/>
        <v>187150</v>
      </c>
      <c r="BR61" s="6">
        <f t="shared" si="12"/>
        <v>187150</v>
      </c>
      <c r="BT61" s="6">
        <f t="shared" si="13"/>
        <v>-162400</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BJ64" s="6"/>
      <c r="BK64" s="6"/>
      <c r="BL64" s="6">
        <f t="shared" si="10"/>
        <v>0</v>
      </c>
      <c r="BM64" s="6"/>
      <c r="BN64" s="6">
        <f>2574843-2785772</f>
        <v>-210929</v>
      </c>
      <c r="BO64" s="6"/>
      <c r="BP64" s="6">
        <f t="shared" si="11"/>
        <v>2574843</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BJ66" s="6"/>
      <c r="BK66" s="6"/>
      <c r="BL66" s="6">
        <f t="shared" si="10"/>
        <v>0</v>
      </c>
      <c r="BM66" s="6"/>
      <c r="BN66" s="6"/>
      <c r="BO66" s="6"/>
      <c r="BP66" s="6">
        <f t="shared" si="11"/>
        <v>4268</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c r="BO72" s="6"/>
      <c r="BP72" s="6">
        <f t="shared" si="11"/>
        <v>59392</v>
      </c>
      <c r="BR72" s="6">
        <f t="shared" si="12"/>
        <v>59392</v>
      </c>
      <c r="BT72" s="6">
        <f t="shared" si="13"/>
        <v>0</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BJ77" s="6"/>
      <c r="BK77" s="6"/>
      <c r="BL77" s="6">
        <f t="shared" si="10"/>
        <v>0</v>
      </c>
      <c r="BM77" s="6"/>
      <c r="BN77" s="6"/>
      <c r="BO77" s="6"/>
      <c r="BP77" s="6">
        <f t="shared" si="11"/>
        <v>105600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0</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3301</v>
      </c>
      <c r="BM81" s="9">
        <f t="shared" si="14"/>
        <v>0</v>
      </c>
      <c r="BN81" s="9">
        <f t="shared" si="14"/>
        <v>1344738</v>
      </c>
      <c r="BO81" s="9">
        <f t="shared" si="14"/>
        <v>0</v>
      </c>
      <c r="BP81" s="9">
        <f t="shared" si="14"/>
        <v>8055814</v>
      </c>
      <c r="BQ81" s="9">
        <f t="shared" si="14"/>
        <v>0</v>
      </c>
      <c r="BR81" s="9">
        <f t="shared" si="14"/>
        <v>8059115</v>
      </c>
      <c r="BS81" s="9">
        <f t="shared" si="14"/>
        <v>0</v>
      </c>
      <c r="BT81" s="9">
        <f t="shared" si="14"/>
        <v>-1344738</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6">
        <f t="shared" ref="BL84:BL111" si="15">SUM(T84:BK84)</f>
        <v>0</v>
      </c>
      <c r="BM84" s="9"/>
      <c r="BN84" s="6">
        <f>3208964-2332995</f>
        <v>875969</v>
      </c>
      <c r="BO84" s="9"/>
      <c r="BP84" s="6">
        <f>IF(+R84-BL84+BN84&gt;0,R84-BL84+BN84,0)</f>
        <v>3208964</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si="15"/>
        <v>0</v>
      </c>
      <c r="BM85" s="9"/>
      <c r="BN85" s="6">
        <f>1767793-804321</f>
        <v>963472</v>
      </c>
      <c r="BO85" s="9"/>
      <c r="BP85" s="6">
        <f t="shared" ref="BP85:BP112" si="16">IF(+R85-BL85+BN85&gt;0,R85-BL85+BN85,0)</f>
        <v>1767793</v>
      </c>
      <c r="BQ85" s="6"/>
      <c r="BR85" s="6">
        <f t="shared" ref="BR85:BR112" si="17">+BL85+BP85</f>
        <v>1767793</v>
      </c>
      <c r="BS85" s="6"/>
      <c r="BT85" s="6">
        <f t="shared" ref="BT85:BT112" si="18">+R85-BR85</f>
        <v>-963472</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9"/>
      <c r="AS86" s="9"/>
      <c r="AT86" s="9"/>
      <c r="AU86" s="9"/>
      <c r="AV86" s="9"/>
      <c r="AW86" s="9"/>
      <c r="AX86" s="9"/>
      <c r="AY86" s="9"/>
      <c r="AZ86" s="9"/>
      <c r="BA86" s="9"/>
      <c r="BB86" s="9"/>
      <c r="BC86" s="9"/>
      <c r="BD86" s="9"/>
      <c r="BE86" s="9"/>
      <c r="BF86" s="9"/>
      <c r="BG86" s="9"/>
      <c r="BH86" s="9"/>
      <c r="BI86" s="9"/>
      <c r="BJ86" s="9"/>
      <c r="BK86" s="9"/>
      <c r="BL86" s="6">
        <f t="shared" si="15"/>
        <v>0</v>
      </c>
      <c r="BM86" s="9"/>
      <c r="BN86" s="6">
        <f>577928-497417</f>
        <v>80511</v>
      </c>
      <c r="BO86" s="9"/>
      <c r="BP86" s="6">
        <f t="shared" si="16"/>
        <v>577928</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6">
        <f>1638551-693467</f>
        <v>945084</v>
      </c>
      <c r="BO88" s="9"/>
      <c r="BP88" s="6">
        <f t="shared" si="16"/>
        <v>1638551</v>
      </c>
      <c r="BQ88" s="6"/>
      <c r="BR88" s="6">
        <f t="shared" si="17"/>
        <v>1638551</v>
      </c>
      <c r="BS88" s="6"/>
      <c r="BT88" s="6">
        <f t="shared" si="18"/>
        <v>-945084</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6">
        <f t="shared" si="15"/>
        <v>0</v>
      </c>
      <c r="BM89" s="9"/>
      <c r="BN89" s="6">
        <f>546098-453000</f>
        <v>93098</v>
      </c>
      <c r="BO89" s="9"/>
      <c r="BP89" s="6">
        <f t="shared" si="16"/>
        <v>546098</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6">
        <f t="shared" si="15"/>
        <v>0</v>
      </c>
      <c r="BM92" s="9"/>
      <c r="BN92" s="6">
        <f>1220255-1150462</f>
        <v>69793</v>
      </c>
      <c r="BO92" s="9"/>
      <c r="BP92" s="6">
        <f t="shared" si="16"/>
        <v>1220255</v>
      </c>
      <c r="BQ92" s="6"/>
      <c r="BR92" s="6">
        <f t="shared" si="17"/>
        <v>1220255</v>
      </c>
      <c r="BS92" s="6"/>
      <c r="BT92" s="6">
        <f t="shared" si="18"/>
        <v>-69793</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6">
        <v>3160764</v>
      </c>
      <c r="BO93" s="9"/>
      <c r="BP93" s="6">
        <f>IF(+R93-BL93+BN93&gt;0,R93-BL93+BN93,0)</f>
        <v>3160764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6">
        <f>408948-189905</f>
        <v>219043</v>
      </c>
      <c r="BO94" s="9"/>
      <c r="BP94" s="6">
        <f t="shared" si="16"/>
        <v>408948</v>
      </c>
      <c r="BQ94" s="6"/>
      <c r="BR94" s="6">
        <f t="shared" si="17"/>
        <v>408948</v>
      </c>
      <c r="BS94" s="6"/>
      <c r="BT94" s="6">
        <f t="shared" si="18"/>
        <v>-219043</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6">
        <f>84581-77621</f>
        <v>6960</v>
      </c>
      <c r="BO95" s="9"/>
      <c r="BP95" s="6">
        <f t="shared" si="16"/>
        <v>84581</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6">
        <f>288585-144409</f>
        <v>144176</v>
      </c>
      <c r="BO96" s="9"/>
      <c r="BP96" s="6">
        <f t="shared" si="16"/>
        <v>288585</v>
      </c>
      <c r="BQ96" s="6"/>
      <c r="BR96" s="6">
        <f t="shared" si="17"/>
        <v>288585</v>
      </c>
      <c r="BS96" s="6"/>
      <c r="BT96" s="6">
        <f t="shared" si="18"/>
        <v>-144176</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6">
        <f>334564-327314</f>
        <v>7250</v>
      </c>
      <c r="BO97" s="9"/>
      <c r="BP97" s="6">
        <f t="shared" si="16"/>
        <v>334564</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1647667-848398</f>
        <v>799269</v>
      </c>
      <c r="BO100" s="9"/>
      <c r="BP100" s="6">
        <f t="shared" si="16"/>
        <v>1647667</v>
      </c>
      <c r="BQ100" s="6"/>
      <c r="BR100" s="6">
        <f t="shared" si="17"/>
        <v>1647667</v>
      </c>
      <c r="BS100" s="6"/>
      <c r="BT100" s="6">
        <f t="shared" si="18"/>
        <v>-799269</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3573067-1655614</f>
        <v>1917453</v>
      </c>
      <c r="BO102" s="9"/>
      <c r="BP102" s="6">
        <f t="shared" si="16"/>
        <v>3573067</v>
      </c>
      <c r="BQ102" s="6"/>
      <c r="BR102" s="6">
        <f t="shared" si="17"/>
        <v>3573067</v>
      </c>
      <c r="BS102" s="6"/>
      <c r="BT102" s="6">
        <f t="shared" si="18"/>
        <v>-1917453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1138403-571702</f>
        <v>566701</v>
      </c>
      <c r="BO104" s="9"/>
      <c r="BP104" s="6">
        <f t="shared" si="16"/>
        <v>1138403</v>
      </c>
      <c r="BQ104" s="6"/>
      <c r="BR104" s="6">
        <f t="shared" si="17"/>
        <v>1138403</v>
      </c>
      <c r="BS104" s="6"/>
      <c r="BT104" s="6">
        <f t="shared" si="18"/>
        <v>-566701</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6584634-3098577</f>
        <v>3486057</v>
      </c>
      <c r="BO106" s="9"/>
      <c r="BP106" s="6">
        <f t="shared" si="16"/>
        <v>6584634</v>
      </c>
      <c r="BQ106" s="6"/>
      <c r="BR106" s="6">
        <f t="shared" si="17"/>
        <v>6584634</v>
      </c>
      <c r="BS106" s="6"/>
      <c r="BT106" s="6">
        <f t="shared" si="18"/>
        <v>-3486057</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0</v>
      </c>
      <c r="BM107" s="9"/>
      <c r="BN107" s="6">
        <f>3299576-3134576</f>
        <v>165000</v>
      </c>
      <c r="BO107" s="9"/>
      <c r="BP107" s="6">
        <f t="shared" si="16"/>
        <v>3299576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928303-627429</f>
        <v>300874</v>
      </c>
      <c r="BO108" s="9"/>
      <c r="BP108" s="6">
        <f t="shared" si="16"/>
        <v>928303</v>
      </c>
      <c r="BQ108" s="6"/>
      <c r="BR108" s="6">
        <f t="shared" si="17"/>
        <v>928303</v>
      </c>
      <c r="BS108" s="6"/>
      <c r="BT108" s="6">
        <f t="shared" si="18"/>
        <v>-300874</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0</v>
      </c>
      <c r="BM114" s="9">
        <f t="shared" si="19"/>
        <v>0</v>
      </c>
      <c r="BN114" s="9">
        <f t="shared" si="19"/>
        <v>12806283</v>
      </c>
      <c r="BO114" s="9">
        <f t="shared" si="19"/>
        <v>0</v>
      </c>
      <c r="BP114" s="9">
        <f t="shared" si="19"/>
        <v>32919642</v>
      </c>
      <c r="BQ114" s="9">
        <f t="shared" si="19"/>
        <v>0</v>
      </c>
      <c r="BR114" s="9">
        <f t="shared" si="19"/>
        <v>32919642</v>
      </c>
      <c r="BS114" s="9">
        <f t="shared" si="19"/>
        <v>0</v>
      </c>
      <c r="BT114" s="9">
        <f t="shared" si="19"/>
        <v>-12806283</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6">
        <f>SUM(T117:BK117)</f>
        <v>0</v>
      </c>
      <c r="BM117" s="9"/>
      <c r="BN117" s="6">
        <f>5336759-5312100</f>
        <v>24659</v>
      </c>
      <c r="BO117" s="9"/>
      <c r="BP117" s="6">
        <f>IF(+R117-BL117+BN117&gt;0,R117-BL117+BN117,0)</f>
        <v>5336759</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9">
        <f t="shared" si="21"/>
        <v>0</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24659</v>
      </c>
      <c r="BO119" s="9">
        <f t="shared" si="21"/>
        <v>0</v>
      </c>
      <c r="BP119" s="9">
        <f t="shared" si="21"/>
        <v>5336759</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f>SUM(BL118:BL119)</f>
        <v>0</v>
      </c>
      <c r="BM120" s="9"/>
      <c r="BN120" s="9"/>
      <c r="BO120" s="9">
        <f>SUM(BO118:BO119)</f>
        <v>0</v>
      </c>
      <c r="BP120" s="9"/>
      <c r="BQ120" s="9">
        <f>SUM(BQ118:BQ119)</f>
        <v>0</v>
      </c>
      <c r="BR120" s="9"/>
      <c r="BS120" s="9">
        <f>SUM(BS118:BS119)</f>
        <v>0</v>
      </c>
      <c r="BT120" s="9"/>
      <c r="BU120" s="9"/>
    </row>
    <row r="121" spans="1:73" s="21" customFormat="1">
      <c r="B121" s="244" t="s">
        <v>384</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9438462-865389</f>
        <v>8573073</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8573073</v>
      </c>
      <c r="BM121" s="9"/>
      <c r="BN121" s="9">
        <v>0</v>
      </c>
      <c r="BO121" s="9">
        <f>SUM(BO119:BO120)</f>
        <v>0</v>
      </c>
      <c r="BP121" s="6">
        <v>-8573073</v>
      </c>
      <c r="BQ121" s="9">
        <f>SUM(BQ119:BQ120)</f>
        <v>0</v>
      </c>
      <c r="BR121" s="6">
        <f>+BL121+BP121</f>
        <v>0</v>
      </c>
      <c r="BS121" s="9">
        <f>SUM(BS119:BS120)</f>
        <v>0</v>
      </c>
      <c r="BT121" s="6">
        <f>+R121-BR121</f>
        <v>0</v>
      </c>
      <c r="BU121" s="9"/>
    </row>
    <row r="122" spans="1:73" s="21" customFormat="1">
      <c r="B122" s="250" t="s">
        <v>383</v>
      </c>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SUM(N37:N122)</f>
        <v>0</v>
      </c>
      <c r="O123" s="13"/>
      <c r="P123" s="247">
        <f>SUM(P37:P122)</f>
        <v>0</v>
      </c>
      <c r="Q123" s="13"/>
      <c r="R123" s="247">
        <f>R119+R114+R81+R55+R121</f>
        <v>50944700</v>
      </c>
      <c r="S123" s="247">
        <f t="shared" ref="S123:BU123" si="22">S119+S114+S81+S55+S121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c r="AF123" s="247">
        <f t="shared" si="22"/>
        <v>0</v>
      </c>
      <c r="AG123" s="247"/>
      <c r="AH123" s="247">
        <f t="shared" si="22"/>
        <v>0</v>
      </c>
      <c r="AI123" s="247"/>
      <c r="AJ123" s="247">
        <f t="shared" si="22"/>
        <v>0</v>
      </c>
      <c r="AK123" s="247">
        <f t="shared" si="22"/>
        <v>0</v>
      </c>
      <c r="AL123" s="247">
        <f t="shared" si="22"/>
        <v>0</v>
      </c>
      <c r="AM123" s="247">
        <f t="shared" si="22"/>
        <v>0</v>
      </c>
      <c r="AN123" s="247">
        <f t="shared" si="22"/>
        <v>0</v>
      </c>
      <c r="AO123" s="247">
        <f t="shared" si="22"/>
        <v>0</v>
      </c>
      <c r="AP123" s="247">
        <f t="shared" si="22"/>
        <v>9438462</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9438462</v>
      </c>
      <c r="BM123" s="247">
        <f t="shared" si="22"/>
        <v>0</v>
      </c>
      <c r="BN123" s="247">
        <f t="shared" si="22"/>
        <v>7699238</v>
      </c>
      <c r="BO123" s="247">
        <f t="shared" si="22"/>
        <v>0</v>
      </c>
      <c r="BP123" s="247">
        <f t="shared" si="22"/>
        <v>49205476</v>
      </c>
      <c r="BQ123" s="247">
        <f t="shared" si="22"/>
        <v>0</v>
      </c>
      <c r="BR123" s="247">
        <f t="shared" si="22"/>
        <v>58643938</v>
      </c>
      <c r="BS123" s="247">
        <f t="shared" si="22"/>
        <v>0</v>
      </c>
      <c r="BT123" s="247">
        <f t="shared" si="22"/>
        <v>-7699238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AI124"/>
      <c r="BJ124" s="6"/>
      <c r="BK124" s="6"/>
      <c r="BM124" s="6"/>
      <c r="BN124" s="6"/>
      <c r="BO124" s="6"/>
      <c r="BU124" s="6"/>
    </row>
    <row r="125" spans="1:73">
      <c r="A125" s="56" t="s">
        <v>229</v>
      </c>
      <c r="B125" s="11"/>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61"/>
      <c r="B126" s="17" t="s">
        <v>230</v>
      </c>
      <c r="C126"/>
      <c r="D126"/>
      <c r="E126"/>
      <c r="F126"/>
      <c r="G126"/>
      <c r="H126"/>
      <c r="I126"/>
      <c r="J126" s="49" t="s">
        <v>238</v>
      </c>
      <c r="K126"/>
      <c r="L126" s="134" t="s">
        <v>204</v>
      </c>
      <c r="M126" s="6"/>
      <c r="N126" s="6">
        <v>0</v>
      </c>
      <c r="O126" s="6"/>
      <c r="P126" s="6">
        <v>0</v>
      </c>
      <c r="Q126" s="6"/>
      <c r="R126" s="6">
        <v>935200</v>
      </c>
      <c r="S126" s="6"/>
      <c r="T126" s="6">
        <v>0</v>
      </c>
      <c r="U126" s="22"/>
      <c r="V126" s="6">
        <v>0</v>
      </c>
      <c r="W126" s="22"/>
      <c r="X126" s="6">
        <v>0</v>
      </c>
      <c r="Y126" s="22"/>
      <c r="Z126" s="6">
        <v>0</v>
      </c>
      <c r="AA126" s="22"/>
      <c r="AB126" s="6">
        <v>0</v>
      </c>
      <c r="AC126" s="22"/>
      <c r="AD126" s="6">
        <v>0</v>
      </c>
      <c r="AE126" s="22"/>
      <c r="AF126" s="6">
        <v>0</v>
      </c>
      <c r="AG126" s="22"/>
      <c r="AH126" s="6">
        <f>935200/12</f>
        <v>77933.333333333328</v>
      </c>
      <c r="AI126"/>
      <c r="AJ126" s="6">
        <v>77933.350000000006</v>
      </c>
      <c r="AL126" s="6">
        <v>77933</v>
      </c>
      <c r="AN126" s="6">
        <v>77933.33</v>
      </c>
      <c r="AO126" s="22"/>
      <c r="AP126" s="6">
        <v>82933.33</v>
      </c>
      <c r="AQ126" s="22"/>
      <c r="AR126" s="6">
        <v>0</v>
      </c>
      <c r="AS126" s="22"/>
      <c r="AT126" s="6">
        <v>0</v>
      </c>
      <c r="AV126" s="6">
        <v>0</v>
      </c>
      <c r="AX126" s="6">
        <v>0</v>
      </c>
      <c r="AZ126" s="6">
        <v>0</v>
      </c>
      <c r="BB126" s="6">
        <v>0</v>
      </c>
      <c r="BD126" s="6">
        <v>0</v>
      </c>
      <c r="BF126" s="6">
        <v>0</v>
      </c>
      <c r="BH126" s="6">
        <v>0</v>
      </c>
      <c r="BJ126" s="6">
        <v>0</v>
      </c>
      <c r="BK126" s="6"/>
      <c r="BL126" s="6">
        <f t="shared" ref="BL126:BL131" si="23">SUM(T126:BK126)</f>
        <v>394666.34333333338</v>
      </c>
      <c r="BM126" s="6"/>
      <c r="BN126" s="6">
        <v>5000</v>
      </c>
      <c r="BO126" s="6"/>
      <c r="BP126" s="6">
        <f t="shared" ref="BP126:BP132" si="24">IF(+R126-BL126+BN126&gt;0,R126-BL126+BN126,0)</f>
        <v>545533.65666666662</v>
      </c>
      <c r="BR126" s="6">
        <f t="shared" ref="BR126:BR131" si="25">+BL126+BP126</f>
        <v>940200</v>
      </c>
      <c r="BT126" s="6">
        <f t="shared" ref="BT126:BT131" si="26">+R126-BR126</f>
        <v>-5000</v>
      </c>
      <c r="BU126" s="6"/>
    </row>
    <row r="127" spans="1:73">
      <c r="A127" s="61"/>
      <c r="B127" s="17" t="s">
        <v>232</v>
      </c>
      <c r="C127"/>
      <c r="D127"/>
      <c r="E127"/>
      <c r="F127"/>
      <c r="G127"/>
      <c r="H127"/>
      <c r="I127"/>
      <c r="J127" s="49" t="s">
        <v>232</v>
      </c>
      <c r="K127"/>
      <c r="L127" s="134" t="s">
        <v>204</v>
      </c>
      <c r="M127" s="6"/>
      <c r="N127" s="6">
        <v>0</v>
      </c>
      <c r="O127" s="6"/>
      <c r="P127" s="6">
        <v>0</v>
      </c>
      <c r="Q127" s="6"/>
      <c r="R127" s="6">
        <v>2824800</v>
      </c>
      <c r="S127" s="6"/>
      <c r="T127" s="6">
        <v>0</v>
      </c>
      <c r="U127" s="22"/>
      <c r="V127" s="6">
        <v>0</v>
      </c>
      <c r="W127" s="22"/>
      <c r="X127" s="6">
        <v>0</v>
      </c>
      <c r="Y127" s="22"/>
      <c r="Z127" s="6">
        <v>0</v>
      </c>
      <c r="AA127" s="22"/>
      <c r="AB127" s="6">
        <v>0</v>
      </c>
      <c r="AC127" s="22"/>
      <c r="AD127" s="6">
        <v>0</v>
      </c>
      <c r="AE127" s="22"/>
      <c r="AF127" s="6">
        <v>0</v>
      </c>
      <c r="AG127" s="22"/>
      <c r="AH127" s="6">
        <f>2824800/12</f>
        <v>235400</v>
      </c>
      <c r="AI127"/>
      <c r="AJ127" s="6">
        <v>235400</v>
      </c>
      <c r="AL127" s="6">
        <v>235399</v>
      </c>
      <c r="AN127" s="6">
        <v>235399</v>
      </c>
      <c r="AO127" s="22"/>
      <c r="AP127" s="6">
        <v>235399</v>
      </c>
      <c r="AQ127" s="22"/>
      <c r="AR127" s="6">
        <v>0</v>
      </c>
      <c r="AS127" s="22"/>
      <c r="AT127" s="6">
        <v>0</v>
      </c>
      <c r="AV127" s="6">
        <v>0</v>
      </c>
      <c r="AX127" s="6">
        <v>0</v>
      </c>
      <c r="AZ127" s="6">
        <v>0</v>
      </c>
      <c r="BB127" s="6">
        <v>0</v>
      </c>
      <c r="BD127" s="6">
        <v>0</v>
      </c>
      <c r="BF127" s="6">
        <v>0</v>
      </c>
      <c r="BH127" s="6">
        <v>0</v>
      </c>
      <c r="BJ127" s="6">
        <v>0</v>
      </c>
      <c r="BK127" s="6"/>
      <c r="BL127" s="6">
        <f t="shared" si="23"/>
        <v>1176997</v>
      </c>
      <c r="BM127" s="6"/>
      <c r="BN127" s="6">
        <v>0</v>
      </c>
      <c r="BO127" s="6"/>
      <c r="BP127" s="6">
        <f t="shared" si="24"/>
        <v>1647803</v>
      </c>
      <c r="BR127" s="6">
        <f t="shared" si="25"/>
        <v>2824800</v>
      </c>
      <c r="BT127" s="6">
        <f t="shared" si="26"/>
        <v>0</v>
      </c>
      <c r="BU127" s="6"/>
    </row>
    <row r="128" spans="1:73">
      <c r="A128" s="61"/>
      <c r="B128" s="17" t="s">
        <v>233</v>
      </c>
      <c r="C128"/>
      <c r="D128"/>
      <c r="E128"/>
      <c r="F128"/>
      <c r="G128"/>
      <c r="H128"/>
      <c r="I128"/>
      <c r="J128" s="49" t="s">
        <v>238</v>
      </c>
      <c r="K128"/>
      <c r="L128" s="134" t="s">
        <v>204</v>
      </c>
      <c r="M128" s="6"/>
      <c r="N128" s="6">
        <v>0</v>
      </c>
      <c r="O128" s="6"/>
      <c r="P128" s="6">
        <v>0</v>
      </c>
      <c r="Q128" s="6"/>
      <c r="R128" s="6">
        <v>3066700</v>
      </c>
      <c r="S128" s="6"/>
      <c r="T128" s="6">
        <v>0</v>
      </c>
      <c r="U128" s="22"/>
      <c r="V128" s="6">
        <v>0</v>
      </c>
      <c r="W128" s="22"/>
      <c r="X128" s="6">
        <v>0</v>
      </c>
      <c r="Y128" s="22"/>
      <c r="Z128" s="6">
        <v>0</v>
      </c>
      <c r="AA128" s="22"/>
      <c r="AB128" s="6">
        <v>0</v>
      </c>
      <c r="AC128" s="22"/>
      <c r="AD128" s="6">
        <v>0</v>
      </c>
      <c r="AE128" s="22"/>
      <c r="AF128" s="6">
        <v>0</v>
      </c>
      <c r="AG128" s="22"/>
      <c r="AH128" s="6">
        <v>0</v>
      </c>
      <c r="AI128"/>
      <c r="AJ128" s="6">
        <v>0</v>
      </c>
      <c r="AL128" s="231">
        <v>0</v>
      </c>
      <c r="AN128" s="6">
        <v>0</v>
      </c>
      <c r="AO128" s="22"/>
      <c r="AP128" s="6">
        <v>0</v>
      </c>
      <c r="AQ128" s="22"/>
      <c r="AR128" s="6">
        <v>0</v>
      </c>
      <c r="AS128" s="22"/>
      <c r="AT128" s="6">
        <v>0</v>
      </c>
      <c r="AV128" s="6">
        <v>0</v>
      </c>
      <c r="AX128" s="6">
        <v>0</v>
      </c>
      <c r="AZ128" s="6">
        <v>0</v>
      </c>
      <c r="BB128" s="6">
        <v>0</v>
      </c>
      <c r="BD128" s="6">
        <v>0</v>
      </c>
      <c r="BF128" s="6">
        <v>0</v>
      </c>
      <c r="BH128" s="6">
        <v>0</v>
      </c>
      <c r="BJ128" s="6">
        <v>0</v>
      </c>
      <c r="BK128" s="6"/>
      <c r="BL128" s="6">
        <f t="shared" si="23"/>
        <v>0</v>
      </c>
      <c r="BM128" s="6"/>
      <c r="BN128" s="6">
        <v>0</v>
      </c>
      <c r="BO128" s="6"/>
      <c r="BP128" s="6">
        <f t="shared" si="24"/>
        <v>3066700</v>
      </c>
      <c r="BR128" s="6">
        <f t="shared" si="25"/>
        <v>3066700</v>
      </c>
      <c r="BT128" s="6">
        <f t="shared" si="26"/>
        <v>0</v>
      </c>
      <c r="BU128" s="6"/>
    </row>
    <row r="129" spans="1:73">
      <c r="A129" s="61"/>
      <c r="B129" s="17" t="s">
        <v>234</v>
      </c>
      <c r="C129"/>
      <c r="D129"/>
      <c r="E129"/>
      <c r="F129"/>
      <c r="G129"/>
      <c r="H129"/>
      <c r="I129"/>
      <c r="J129" s="49" t="s">
        <v>238</v>
      </c>
      <c r="K129"/>
      <c r="L129" s="134" t="s">
        <v>204</v>
      </c>
      <c r="M129" s="6"/>
      <c r="N129" s="12">
        <v>0</v>
      </c>
      <c r="O129" s="12"/>
      <c r="P129" s="12">
        <v>0</v>
      </c>
      <c r="Q129" s="12"/>
      <c r="R129" s="6">
        <f>+N129+P129</f>
        <v>0</v>
      </c>
      <c r="S129" s="12"/>
      <c r="T129" s="12">
        <v>0</v>
      </c>
      <c r="U129" s="80"/>
      <c r="V129" s="12">
        <v>0</v>
      </c>
      <c r="W129" s="80"/>
      <c r="X129" s="12">
        <v>0</v>
      </c>
      <c r="Y129" s="80"/>
      <c r="Z129" s="12">
        <v>0</v>
      </c>
      <c r="AA129" s="80"/>
      <c r="AB129" s="12">
        <v>0</v>
      </c>
      <c r="AC129" s="80"/>
      <c r="AD129" s="12">
        <v>0</v>
      </c>
      <c r="AE129" s="80"/>
      <c r="AF129" s="12">
        <v>0</v>
      </c>
      <c r="AG129" s="80"/>
      <c r="AH129" s="12">
        <v>0</v>
      </c>
      <c r="AI129"/>
      <c r="AJ129" s="12">
        <v>0</v>
      </c>
      <c r="AL129" s="12">
        <v>0</v>
      </c>
      <c r="AN129" s="12">
        <v>0</v>
      </c>
      <c r="AO129" s="80"/>
      <c r="AP129" s="12">
        <v>0</v>
      </c>
      <c r="AQ129" s="80"/>
      <c r="AR129" s="12">
        <v>0</v>
      </c>
      <c r="AS129" s="80"/>
      <c r="AT129" s="12">
        <v>0</v>
      </c>
      <c r="AU129" s="12"/>
      <c r="AV129" s="12">
        <v>0</v>
      </c>
      <c r="AW129" s="12"/>
      <c r="AX129" s="12">
        <v>0</v>
      </c>
      <c r="AY129" s="12"/>
      <c r="AZ129" s="12">
        <v>0</v>
      </c>
      <c r="BA129" s="12"/>
      <c r="BB129" s="12">
        <v>0</v>
      </c>
      <c r="BC129" s="12"/>
      <c r="BD129" s="12">
        <v>0</v>
      </c>
      <c r="BE129" s="12"/>
      <c r="BF129" s="12">
        <v>0</v>
      </c>
      <c r="BG129" s="12"/>
      <c r="BH129" s="12">
        <v>0</v>
      </c>
      <c r="BI129" s="12"/>
      <c r="BJ129" s="12">
        <v>0</v>
      </c>
      <c r="BK129" s="12"/>
      <c r="BL129" s="12">
        <f t="shared" si="23"/>
        <v>0</v>
      </c>
      <c r="BM129" s="6"/>
      <c r="BN129" s="12">
        <v>0</v>
      </c>
      <c r="BO129" s="6"/>
      <c r="BP129" s="6">
        <f t="shared" si="24"/>
        <v>0</v>
      </c>
      <c r="BQ129" s="12"/>
      <c r="BR129" s="6">
        <f t="shared" si="25"/>
        <v>0</v>
      </c>
      <c r="BS129" s="12"/>
      <c r="BT129" s="6">
        <f t="shared" si="26"/>
        <v>0</v>
      </c>
      <c r="BU129" s="12"/>
    </row>
    <row r="130" spans="1:73" s="11" customFormat="1">
      <c r="A130" s="17"/>
      <c r="B130" s="17" t="s">
        <v>235</v>
      </c>
      <c r="C130" s="30"/>
      <c r="D130" s="30"/>
      <c r="E130" s="30"/>
      <c r="F130" s="30"/>
      <c r="G130" s="30"/>
      <c r="H130" s="30"/>
      <c r="I130" s="30"/>
      <c r="J130" s="156" t="s">
        <v>238</v>
      </c>
      <c r="K130" s="30"/>
      <c r="L130" s="134" t="s">
        <v>204</v>
      </c>
      <c r="M130" s="12"/>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K130"/>
      <c r="AL130" s="12">
        <v>0</v>
      </c>
      <c r="AM13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12"/>
      <c r="BN130" s="12">
        <v>0</v>
      </c>
      <c r="BO130" s="12"/>
      <c r="BP130" s="6">
        <f t="shared" si="24"/>
        <v>0</v>
      </c>
      <c r="BQ130" s="12"/>
      <c r="BR130" s="6">
        <f t="shared" si="25"/>
        <v>0</v>
      </c>
      <c r="BS130" s="12"/>
      <c r="BT130" s="6">
        <f t="shared" si="26"/>
        <v>0</v>
      </c>
      <c r="BU130" s="12"/>
    </row>
    <row r="131" spans="1:73">
      <c r="A131" s="61"/>
      <c r="B131" s="17" t="s">
        <v>122</v>
      </c>
      <c r="C131"/>
      <c r="D131"/>
      <c r="E131"/>
      <c r="F131"/>
      <c r="G131"/>
      <c r="H131"/>
      <c r="I131"/>
      <c r="J131" s="49"/>
      <c r="K131"/>
      <c r="L131" s="134" t="s">
        <v>204</v>
      </c>
      <c r="M131" s="6"/>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L131" s="12">
        <v>0</v>
      </c>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6"/>
      <c r="BN131" s="12">
        <v>0</v>
      </c>
      <c r="BO131" s="6"/>
      <c r="BP131" s="6">
        <f t="shared" si="24"/>
        <v>0</v>
      </c>
      <c r="BQ131" s="12"/>
      <c r="BR131" s="6">
        <f t="shared" si="25"/>
        <v>0</v>
      </c>
      <c r="BS131" s="12"/>
      <c r="BT131" s="6">
        <f t="shared" si="26"/>
        <v>0</v>
      </c>
      <c r="BU131" s="12"/>
    </row>
    <row r="132" spans="1:73">
      <c r="A132" s="61"/>
      <c r="B132" s="17"/>
      <c r="C132"/>
      <c r="D132"/>
      <c r="E132"/>
      <c r="F132"/>
      <c r="G132"/>
      <c r="H132"/>
      <c r="I132"/>
      <c r="J132" s="49"/>
      <c r="K132"/>
      <c r="L132" s="134"/>
      <c r="M132" s="6"/>
      <c r="N132" s="12"/>
      <c r="O132" s="12"/>
      <c r="P132" s="12"/>
      <c r="Q132" s="12"/>
      <c r="R132" s="12"/>
      <c r="S132" s="12"/>
      <c r="T132" s="12"/>
      <c r="U132" s="80"/>
      <c r="V132" s="12"/>
      <c r="W132" s="80"/>
      <c r="X132" s="12"/>
      <c r="Y132" s="80"/>
      <c r="Z132" s="12"/>
      <c r="AA132" s="80"/>
      <c r="AB132" s="12"/>
      <c r="AC132" s="80"/>
      <c r="AD132" s="12"/>
      <c r="AE132" s="80"/>
      <c r="AF132" s="12"/>
      <c r="AG132" s="80"/>
      <c r="AH132" s="12"/>
      <c r="AI132"/>
      <c r="AJ132" s="12"/>
      <c r="AL132" s="12"/>
      <c r="AN132" s="12"/>
      <c r="AO132" s="80"/>
      <c r="AP132" s="12"/>
      <c r="AQ132" s="80"/>
      <c r="AR132" s="12"/>
      <c r="AS132" s="80"/>
      <c r="AT132" s="12"/>
      <c r="AU132" s="12"/>
      <c r="AV132" s="12"/>
      <c r="AW132" s="12"/>
      <c r="AX132" s="12"/>
      <c r="AY132" s="12"/>
      <c r="AZ132" s="12"/>
      <c r="BA132" s="12"/>
      <c r="BB132" s="12"/>
      <c r="BC132" s="12"/>
      <c r="BD132" s="12"/>
      <c r="BE132" s="12"/>
      <c r="BF132" s="12"/>
      <c r="BG132" s="12"/>
      <c r="BH132" s="12"/>
      <c r="BI132" s="12"/>
      <c r="BJ132" s="12"/>
      <c r="BK132" s="12"/>
      <c r="BL132" s="12"/>
      <c r="BM132" s="6"/>
      <c r="BN132" s="12"/>
      <c r="BO132" s="6"/>
      <c r="BP132" s="6">
        <f t="shared" si="24"/>
        <v>0</v>
      </c>
      <c r="BQ132" s="12"/>
      <c r="BR132" s="12"/>
      <c r="BS132" s="12"/>
      <c r="BT132" s="12"/>
      <c r="BU132" s="12"/>
    </row>
    <row r="133" spans="1:73" s="114" customFormat="1">
      <c r="A133" s="112"/>
      <c r="B133" s="113" t="s">
        <v>246</v>
      </c>
      <c r="J133" s="157"/>
      <c r="L133" s="142"/>
      <c r="M133" s="115"/>
      <c r="N133" s="116">
        <f>SUM(N126:N132)</f>
        <v>0</v>
      </c>
      <c r="O133" s="115"/>
      <c r="P133" s="116">
        <f>SUM(P126:P132)</f>
        <v>0</v>
      </c>
      <c r="Q133" s="115"/>
      <c r="R133" s="116">
        <f>SUM(R126:R132)</f>
        <v>6826700</v>
      </c>
      <c r="S133" s="115"/>
      <c r="T133" s="116">
        <f>SUM(T126:T132)</f>
        <v>0</v>
      </c>
      <c r="U133" s="115"/>
      <c r="V133" s="116">
        <f>SUM(V126:V132)</f>
        <v>0</v>
      </c>
      <c r="W133" s="115"/>
      <c r="X133" s="116">
        <f>SUM(X126:X132)</f>
        <v>0</v>
      </c>
      <c r="Y133" s="115"/>
      <c r="Z133" s="116">
        <f>SUM(Z126:Z132)</f>
        <v>0</v>
      </c>
      <c r="AA133" s="115"/>
      <c r="AB133" s="116">
        <f>SUM(AB126:AB132)</f>
        <v>0</v>
      </c>
      <c r="AC133" s="115"/>
      <c r="AD133" s="116">
        <f>SUM(AD126:AD132)</f>
        <v>0</v>
      </c>
      <c r="AE133" s="115"/>
      <c r="AF133" s="116">
        <f>SUM(AF126:AF132)</f>
        <v>0</v>
      </c>
      <c r="AG133" s="115"/>
      <c r="AH133" s="116">
        <f>SUM(AH126:AH132)</f>
        <v>313333.33333333331</v>
      </c>
      <c r="AI133"/>
      <c r="AJ133" s="116">
        <f>SUM(AJ126:AJ132)</f>
        <v>313333.34999999998</v>
      </c>
      <c r="AK133"/>
      <c r="AL133" s="116">
        <f>SUM(AL126:AL132)</f>
        <v>313332</v>
      </c>
      <c r="AM133"/>
      <c r="AN133" s="116">
        <f>SUM(AN126:AN132)</f>
        <v>313332.33</v>
      </c>
      <c r="AO133" s="115"/>
      <c r="AP133" s="116">
        <f>SUM(AP126:AP132)</f>
        <v>318332.33</v>
      </c>
      <c r="AQ133" s="115"/>
      <c r="AR133" s="116">
        <f>SUM(AR126:AR132)</f>
        <v>0</v>
      </c>
      <c r="AS133" s="115"/>
      <c r="AT133" s="116">
        <f>SUM(AT126:AT132)</f>
        <v>0</v>
      </c>
      <c r="AU133" s="117"/>
      <c r="AV133" s="116">
        <f>SUM(AV126:AV132)</f>
        <v>0</v>
      </c>
      <c r="AW133" s="117"/>
      <c r="AX133" s="116">
        <f>SUM(AX126:AX132)</f>
        <v>0</v>
      </c>
      <c r="AY133" s="117"/>
      <c r="AZ133" s="116">
        <f>SUM(AZ126:AZ132)</f>
        <v>0</v>
      </c>
      <c r="BA133" s="117"/>
      <c r="BB133" s="116">
        <f>SUM(BB126:BB132)</f>
        <v>0</v>
      </c>
      <c r="BC133" s="117"/>
      <c r="BD133" s="116">
        <f>SUM(BD126:BD132)</f>
        <v>0</v>
      </c>
      <c r="BE133" s="117"/>
      <c r="BF133" s="116">
        <f>SUM(BF126:BF132)</f>
        <v>0</v>
      </c>
      <c r="BG133" s="117"/>
      <c r="BH133" s="116">
        <f>SUM(BH126:BH132)</f>
        <v>0</v>
      </c>
      <c r="BI133" s="117"/>
      <c r="BJ133" s="116">
        <f>SUM(BJ126:BJ132)</f>
        <v>0</v>
      </c>
      <c r="BK133" s="115"/>
      <c r="BL133" s="116">
        <f>SUM(BL126:BL132)</f>
        <v>1571663.3433333333</v>
      </c>
      <c r="BM133" s="115"/>
      <c r="BN133" s="116">
        <f>SUM(BN126:BN132)</f>
        <v>5000</v>
      </c>
      <c r="BO133" s="115"/>
      <c r="BP133" s="116">
        <f>SUM(BP126:BP132)</f>
        <v>5260036.6566666663</v>
      </c>
      <c r="BQ133" s="115"/>
      <c r="BR133" s="116">
        <f>SUM(BR126:BR132)</f>
        <v>6831700</v>
      </c>
      <c r="BS133" s="115"/>
      <c r="BT133" s="116">
        <f>SUM(BT126:BT132)</f>
        <v>-5000</v>
      </c>
      <c r="BU133" s="117"/>
    </row>
    <row r="134" spans="1:73" customFormat="1"/>
    <row r="135" spans="1:73" s="15" customFormat="1">
      <c r="A135" s="62" t="s">
        <v>244</v>
      </c>
      <c r="B135" s="17"/>
      <c r="C135"/>
      <c r="D135"/>
      <c r="E135"/>
      <c r="F135"/>
      <c r="G135"/>
      <c r="H135"/>
      <c r="I135"/>
      <c r="J135" s="49"/>
      <c r="K135"/>
      <c r="L135" s="134" t="s">
        <v>204</v>
      </c>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c r="AJ135" s="22"/>
      <c r="AK135"/>
      <c r="AL135" s="22"/>
      <c r="AM135"/>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row>
    <row r="136" spans="1:73" s="15" customFormat="1">
      <c r="A136" s="62"/>
      <c r="B136" s="17" t="s">
        <v>257</v>
      </c>
      <c r="C136"/>
      <c r="D136"/>
      <c r="E136"/>
      <c r="F136"/>
      <c r="G136"/>
      <c r="H136"/>
      <c r="I136"/>
      <c r="J136" s="49" t="s">
        <v>0</v>
      </c>
      <c r="K136"/>
      <c r="L136" s="134" t="s">
        <v>204</v>
      </c>
      <c r="M136" s="22"/>
      <c r="N136" s="22">
        <v>0</v>
      </c>
      <c r="O136" s="22"/>
      <c r="P136" s="22">
        <v>0</v>
      </c>
      <c r="Q136" s="22"/>
      <c r="R136" s="6">
        <v>9479079</v>
      </c>
      <c r="S136" s="22"/>
      <c r="T136" s="22">
        <v>0</v>
      </c>
      <c r="U136" s="22"/>
      <c r="V136" s="22">
        <v>0</v>
      </c>
      <c r="W136" s="22"/>
      <c r="X136" s="22">
        <v>0</v>
      </c>
      <c r="Y136" s="22"/>
      <c r="Z136" s="22">
        <v>0</v>
      </c>
      <c r="AA136" s="22"/>
      <c r="AB136" s="22">
        <v>0</v>
      </c>
      <c r="AC136" s="22"/>
      <c r="AD136" s="22">
        <v>0</v>
      </c>
      <c r="AE136" s="22"/>
      <c r="AF136" s="22">
        <v>815280</v>
      </c>
      <c r="AG136" s="22"/>
      <c r="AH136" s="22">
        <v>2025875.7</v>
      </c>
      <c r="AI136"/>
      <c r="AJ136" s="22">
        <v>0</v>
      </c>
      <c r="AK136"/>
      <c r="AL136" s="22">
        <v>0</v>
      </c>
      <c r="AM136"/>
      <c r="AN136" s="22">
        <v>1894103.8</v>
      </c>
      <c r="AO136" s="22"/>
      <c r="AP136" s="22">
        <v>0</v>
      </c>
      <c r="AQ136" s="22"/>
      <c r="AR136" s="22">
        <v>0</v>
      </c>
      <c r="AS136" s="22"/>
      <c r="AT136" s="22">
        <v>0</v>
      </c>
      <c r="AU136" s="22"/>
      <c r="AV136" s="22">
        <v>0</v>
      </c>
      <c r="AW136" s="22"/>
      <c r="AX136" s="22">
        <v>0</v>
      </c>
      <c r="AY136" s="22"/>
      <c r="AZ136" s="22">
        <v>0</v>
      </c>
      <c r="BA136" s="22"/>
      <c r="BB136" s="22">
        <v>0</v>
      </c>
      <c r="BC136" s="22"/>
      <c r="BD136" s="22">
        <v>0</v>
      </c>
      <c r="BE136" s="22"/>
      <c r="BF136" s="22">
        <v>0</v>
      </c>
      <c r="BG136" s="22"/>
      <c r="BH136" s="22">
        <v>0</v>
      </c>
      <c r="BI136" s="22"/>
      <c r="BJ136" s="22">
        <v>0</v>
      </c>
      <c r="BK136" s="22"/>
      <c r="BL136" s="22">
        <f>SUM(T136:BK136)</f>
        <v>4735259.5</v>
      </c>
      <c r="BM136" s="22"/>
      <c r="BN136" s="22">
        <v>0</v>
      </c>
      <c r="BO136" s="22"/>
      <c r="BP136" s="6">
        <f t="shared" ref="BP136:BP141" si="27">IF(+R136-BL136+BN136&gt;0,R136-BL136+BN136,0)</f>
        <v>4743819.5</v>
      </c>
      <c r="BQ136" s="22"/>
      <c r="BR136" s="6">
        <f>+BL136+BP136</f>
        <v>9479079</v>
      </c>
      <c r="BS136" s="22"/>
      <c r="BT136" s="6">
        <f>+R136-BR136</f>
        <v>0</v>
      </c>
      <c r="BU136" s="22"/>
    </row>
    <row r="137" spans="1:73" s="15" customFormat="1">
      <c r="A137" s="62"/>
      <c r="B137" s="17" t="s">
        <v>258</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c r="AJ137" s="22">
        <v>0</v>
      </c>
      <c r="AK137"/>
      <c r="AL137" s="22">
        <v>0</v>
      </c>
      <c r="AM137"/>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 t="shared" si="27"/>
        <v>0</v>
      </c>
      <c r="BQ137" s="22"/>
      <c r="BR137" s="6">
        <f>+BL137+BP137</f>
        <v>0</v>
      </c>
      <c r="BS137" s="22"/>
      <c r="BT137" s="6">
        <f>+R137-BR137</f>
        <v>0</v>
      </c>
      <c r="BU137" s="22"/>
    </row>
    <row r="138" spans="1:73" s="15" customFormat="1">
      <c r="A138" s="57"/>
      <c r="B138" s="17" t="s">
        <v>259</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7"/>
        <v>0</v>
      </c>
      <c r="BQ138" s="22"/>
      <c r="BR138" s="6">
        <f>+BL138+BP138</f>
        <v>0</v>
      </c>
      <c r="BS138" s="22"/>
      <c r="BT138" s="6">
        <f>+R138-BR138</f>
        <v>0</v>
      </c>
      <c r="BU138" s="22"/>
    </row>
    <row r="139" spans="1:73" s="109" customFormat="1">
      <c r="A139" s="100"/>
      <c r="B139" s="17" t="s">
        <v>260</v>
      </c>
      <c r="C139" s="30"/>
      <c r="D139" s="30"/>
      <c r="E139" s="30"/>
      <c r="F139" s="30"/>
      <c r="G139" s="30"/>
      <c r="H139" s="30"/>
      <c r="I139" s="30"/>
      <c r="J139" s="49" t="s">
        <v>0</v>
      </c>
      <c r="K139" s="30"/>
      <c r="L139" s="134" t="s">
        <v>204</v>
      </c>
      <c r="M139" s="80"/>
      <c r="N139" s="80">
        <v>0</v>
      </c>
      <c r="O139" s="80"/>
      <c r="P139" s="80">
        <v>0</v>
      </c>
      <c r="Q139" s="80"/>
      <c r="R139" s="6">
        <v>0</v>
      </c>
      <c r="S139" s="80"/>
      <c r="T139" s="80">
        <v>0</v>
      </c>
      <c r="U139" s="80"/>
      <c r="V139" s="80">
        <v>0</v>
      </c>
      <c r="W139" s="80"/>
      <c r="X139" s="80">
        <v>0</v>
      </c>
      <c r="Y139" s="80"/>
      <c r="Z139" s="80">
        <v>0</v>
      </c>
      <c r="AA139" s="80"/>
      <c r="AB139" s="80">
        <v>0</v>
      </c>
      <c r="AC139" s="80"/>
      <c r="AD139" s="80">
        <v>0</v>
      </c>
      <c r="AE139" s="80"/>
      <c r="AF139" s="80">
        <v>0</v>
      </c>
      <c r="AG139" s="80"/>
      <c r="AH139" s="80">
        <v>0</v>
      </c>
      <c r="AI139"/>
      <c r="AJ139" s="80">
        <v>0</v>
      </c>
      <c r="AK139"/>
      <c r="AL139" s="80">
        <v>0</v>
      </c>
      <c r="AM139"/>
      <c r="AN139" s="80">
        <v>0</v>
      </c>
      <c r="AO139" s="80"/>
      <c r="AP139" s="80">
        <v>0</v>
      </c>
      <c r="AQ139" s="80"/>
      <c r="AR139" s="80">
        <v>0</v>
      </c>
      <c r="AS139" s="80"/>
      <c r="AT139" s="80">
        <v>0</v>
      </c>
      <c r="AU139" s="80"/>
      <c r="AV139" s="80">
        <v>0</v>
      </c>
      <c r="AW139" s="80"/>
      <c r="AX139" s="80">
        <v>0</v>
      </c>
      <c r="AY139" s="80"/>
      <c r="AZ139" s="80">
        <v>0</v>
      </c>
      <c r="BA139" s="80"/>
      <c r="BB139" s="80">
        <v>0</v>
      </c>
      <c r="BC139" s="80"/>
      <c r="BD139" s="80">
        <v>0</v>
      </c>
      <c r="BE139" s="80"/>
      <c r="BF139" s="80">
        <v>0</v>
      </c>
      <c r="BG139" s="80"/>
      <c r="BH139" s="80">
        <v>0</v>
      </c>
      <c r="BI139" s="80"/>
      <c r="BJ139" s="80">
        <v>0</v>
      </c>
      <c r="BK139" s="80"/>
      <c r="BL139" s="80">
        <f>SUM(T139:BK139)</f>
        <v>0</v>
      </c>
      <c r="BM139" s="80"/>
      <c r="BN139" s="80">
        <v>0</v>
      </c>
      <c r="BO139" s="80"/>
      <c r="BP139" s="6">
        <f t="shared" si="27"/>
        <v>0</v>
      </c>
      <c r="BQ139" s="80"/>
      <c r="BR139" s="6">
        <f>+BL139+BP139</f>
        <v>0</v>
      </c>
      <c r="BS139" s="80"/>
      <c r="BT139" s="6">
        <f>+R139-BR139</f>
        <v>0</v>
      </c>
      <c r="BU139" s="80"/>
    </row>
    <row r="140" spans="1:73" s="15" customFormat="1">
      <c r="A140" s="57"/>
      <c r="B140" s="17" t="s">
        <v>261</v>
      </c>
      <c r="C140"/>
      <c r="D140"/>
      <c r="E140"/>
      <c r="F140"/>
      <c r="G140"/>
      <c r="H140"/>
      <c r="I140"/>
      <c r="J140" s="49" t="s">
        <v>0</v>
      </c>
      <c r="K140"/>
      <c r="L140" s="134" t="s">
        <v>204</v>
      </c>
      <c r="M140" s="22"/>
      <c r="N140" s="80">
        <v>0</v>
      </c>
      <c r="O140" s="22"/>
      <c r="P140" s="80">
        <v>0</v>
      </c>
      <c r="Q140" s="22"/>
      <c r="R140" s="6">
        <v>0</v>
      </c>
      <c r="S140" s="22"/>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22"/>
      <c r="BL140" s="80">
        <f>SUM(T140:BK140)</f>
        <v>0</v>
      </c>
      <c r="BM140" s="22"/>
      <c r="BN140" s="80">
        <v>0</v>
      </c>
      <c r="BO140" s="22"/>
      <c r="BP140" s="6">
        <f t="shared" si="27"/>
        <v>0</v>
      </c>
      <c r="BQ140" s="22"/>
      <c r="BR140" s="6">
        <f>+BL140+BP140</f>
        <v>0</v>
      </c>
      <c r="BS140" s="22"/>
      <c r="BT140" s="6">
        <f>+R140-BR140</f>
        <v>0</v>
      </c>
      <c r="BU140" s="80"/>
    </row>
    <row r="141" spans="1:73" s="15" customFormat="1">
      <c r="A141" s="57"/>
      <c r="B141" s="17"/>
      <c r="C141"/>
      <c r="D141"/>
      <c r="E141"/>
      <c r="F141"/>
      <c r="G141"/>
      <c r="H141"/>
      <c r="I141"/>
      <c r="J141" s="49"/>
      <c r="K141"/>
      <c r="L141" s="134"/>
      <c r="M141" s="22"/>
      <c r="N141" s="80"/>
      <c r="O141" s="22"/>
      <c r="P141" s="80"/>
      <c r="Q141" s="22"/>
      <c r="R141" s="80"/>
      <c r="S141" s="22"/>
      <c r="T141" s="80"/>
      <c r="U141" s="80"/>
      <c r="V141" s="80"/>
      <c r="W141" s="80"/>
      <c r="X141" s="80"/>
      <c r="Y141" s="80"/>
      <c r="Z141" s="80"/>
      <c r="AA141" s="80"/>
      <c r="AB141" s="80"/>
      <c r="AC141" s="80"/>
      <c r="AD141" s="80"/>
      <c r="AE141" s="80"/>
      <c r="AF141" s="80"/>
      <c r="AG141" s="80"/>
      <c r="AH141" s="80"/>
      <c r="AI141"/>
      <c r="AJ141" s="80"/>
      <c r="AK141"/>
      <c r="AL141" s="80"/>
      <c r="AM141"/>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22"/>
      <c r="BL141" s="80"/>
      <c r="BM141" s="22"/>
      <c r="BN141" s="80"/>
      <c r="BO141" s="22"/>
      <c r="BP141" s="6">
        <f t="shared" si="27"/>
        <v>0</v>
      </c>
      <c r="BQ141" s="22"/>
      <c r="BR141" s="80"/>
      <c r="BS141" s="22"/>
      <c r="BT141" s="80"/>
      <c r="BU141" s="80"/>
    </row>
    <row r="142" spans="1:73" s="104" customFormat="1">
      <c r="A142" s="111"/>
      <c r="B142" s="77" t="s">
        <v>247</v>
      </c>
      <c r="C142" s="21"/>
      <c r="D142" s="21"/>
      <c r="E142" s="21"/>
      <c r="F142" s="21"/>
      <c r="G142" s="21"/>
      <c r="H142" s="21"/>
      <c r="I142" s="21"/>
      <c r="J142" s="8"/>
      <c r="K142" s="21"/>
      <c r="L142" s="143"/>
      <c r="M142" s="16"/>
      <c r="N142" s="108">
        <f>SUM(N136:N141)</f>
        <v>0</v>
      </c>
      <c r="O142" s="16"/>
      <c r="P142" s="108">
        <f>SUM(P136:P141)</f>
        <v>0</v>
      </c>
      <c r="Q142" s="16"/>
      <c r="R142" s="108">
        <f>SUM(R136:R141)</f>
        <v>9479079</v>
      </c>
      <c r="S142" s="16"/>
      <c r="T142" s="108">
        <f>SUM(T136:T141)</f>
        <v>0</v>
      </c>
      <c r="U142" s="16"/>
      <c r="V142" s="108">
        <f>SUM(V136:V141)</f>
        <v>0</v>
      </c>
      <c r="W142" s="16"/>
      <c r="X142" s="108">
        <f>SUM(X136:X141)</f>
        <v>0</v>
      </c>
      <c r="Y142" s="16"/>
      <c r="Z142" s="108">
        <f>SUM(Z136:Z141)</f>
        <v>0</v>
      </c>
      <c r="AA142" s="16"/>
      <c r="AB142" s="108">
        <f>SUM(AB136:AB141)</f>
        <v>0</v>
      </c>
      <c r="AC142" s="16"/>
      <c r="AD142" s="108">
        <f>SUM(AD136:AD141)</f>
        <v>0</v>
      </c>
      <c r="AE142" s="16"/>
      <c r="AF142" s="108">
        <f>SUM(AF136:AF141)</f>
        <v>815280</v>
      </c>
      <c r="AG142" s="16"/>
      <c r="AH142" s="108">
        <f>SUM(AH136:AH141)</f>
        <v>2025875.7</v>
      </c>
      <c r="AI142"/>
      <c r="AJ142" s="108">
        <f>SUM(AJ136:AJ141)</f>
        <v>0</v>
      </c>
      <c r="AK142"/>
      <c r="AL142" s="108">
        <f>SUM(AL136:AL141)</f>
        <v>0</v>
      </c>
      <c r="AM142"/>
      <c r="AN142" s="108">
        <f>SUM(AN136:AN141)</f>
        <v>1894103.8</v>
      </c>
      <c r="AO142" s="16"/>
      <c r="AP142" s="108">
        <f>SUM(AP136:AP141)</f>
        <v>0</v>
      </c>
      <c r="AQ142" s="16"/>
      <c r="AR142" s="108">
        <f>SUM(AR136:AR141)</f>
        <v>0</v>
      </c>
      <c r="AS142" s="16"/>
      <c r="AT142" s="108">
        <f>SUM(AT136:AT141)</f>
        <v>0</v>
      </c>
      <c r="AU142" s="103"/>
      <c r="AV142" s="108">
        <f>SUM(AV136:AV141)</f>
        <v>0</v>
      </c>
      <c r="AW142" s="103"/>
      <c r="AX142" s="108">
        <f>SUM(AX136:AX141)</f>
        <v>0</v>
      </c>
      <c r="AY142" s="103"/>
      <c r="AZ142" s="108">
        <f>SUM(AZ136:AZ141)</f>
        <v>0</v>
      </c>
      <c r="BA142" s="103"/>
      <c r="BB142" s="108">
        <f>SUM(BB136:BB141)</f>
        <v>0</v>
      </c>
      <c r="BC142" s="103"/>
      <c r="BD142" s="108">
        <f>SUM(BD136:BD141)</f>
        <v>0</v>
      </c>
      <c r="BE142" s="103"/>
      <c r="BF142" s="108">
        <f>SUM(BF136:BF141)</f>
        <v>0</v>
      </c>
      <c r="BG142" s="103"/>
      <c r="BH142" s="108">
        <f>SUM(BH136:BH141)</f>
        <v>0</v>
      </c>
      <c r="BI142" s="103"/>
      <c r="BJ142" s="108">
        <f>SUM(BJ136:BJ141)</f>
        <v>0</v>
      </c>
      <c r="BK142" s="16"/>
      <c r="BL142" s="108">
        <f>SUM(BL136:BL141)</f>
        <v>4735259.5</v>
      </c>
      <c r="BM142" s="16"/>
      <c r="BN142" s="108">
        <f>SUM(BN136:BN141)</f>
        <v>0</v>
      </c>
      <c r="BO142" s="16"/>
      <c r="BP142" s="108">
        <f>SUM(BP136:BP141)</f>
        <v>4743819.5</v>
      </c>
      <c r="BQ142" s="16"/>
      <c r="BR142" s="108">
        <f>SUM(BR136:BR141)</f>
        <v>9479079</v>
      </c>
      <c r="BS142" s="16"/>
      <c r="BT142" s="108">
        <f>SUM(BT136:BT141)</f>
        <v>0</v>
      </c>
      <c r="BU142" s="16"/>
    </row>
    <row r="143" spans="1:73" s="15" customFormat="1">
      <c r="A143" s="57"/>
      <c r="B143" s="17"/>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c r="AJ143" s="22"/>
      <c r="AK143"/>
      <c r="AL143" s="22"/>
      <c r="AM143"/>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05" customFormat="1">
      <c r="A144" s="162" t="s">
        <v>248</v>
      </c>
      <c r="B144" s="63"/>
      <c r="J144" s="158"/>
      <c r="L144" s="144"/>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c r="AJ144" s="13"/>
      <c r="AK144"/>
      <c r="AL144" s="13"/>
      <c r="AM144"/>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row>
    <row r="145" spans="1:73" s="15" customFormat="1">
      <c r="A145" s="14"/>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f>83584768.91+2296826</f>
        <v>85881594.909999996</v>
      </c>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AI147"/>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I148"/>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c r="AJ151" s="102">
        <f>SUM(AJ148:AJ150)</f>
        <v>0</v>
      </c>
      <c r="AK151"/>
      <c r="AL151" s="102">
        <f>SUM(AL148:AL150)</f>
        <v>0</v>
      </c>
      <c r="AM151"/>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c r="AJ152" s="10"/>
      <c r="AK152"/>
      <c r="AL152" s="10"/>
      <c r="AM152"/>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c r="AJ153" s="9">
        <v>0</v>
      </c>
      <c r="AK153"/>
      <c r="AL153" s="9">
        <v>0</v>
      </c>
      <c r="AM153"/>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c r="AJ154" s="9"/>
      <c r="AK154"/>
      <c r="AL154" s="9"/>
      <c r="AM154"/>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0</v>
      </c>
      <c r="S155" s="9"/>
      <c r="T155" s="9">
        <v>0</v>
      </c>
      <c r="U155" s="9"/>
      <c r="V155" s="9">
        <v>0</v>
      </c>
      <c r="W155" s="9"/>
      <c r="X155" s="9">
        <v>0</v>
      </c>
      <c r="Y155" s="9"/>
      <c r="Z155" s="9">
        <v>0</v>
      </c>
      <c r="AA155" s="9"/>
      <c r="AB155" s="9">
        <v>0</v>
      </c>
      <c r="AC155" s="9"/>
      <c r="AD155" s="9">
        <v>0</v>
      </c>
      <c r="AE155" s="9"/>
      <c r="AF155" s="9">
        <v>0</v>
      </c>
      <c r="AG155" s="9"/>
      <c r="AH155" s="9">
        <v>0</v>
      </c>
      <c r="AI155"/>
      <c r="AJ155" s="9">
        <v>0</v>
      </c>
      <c r="AK155"/>
      <c r="AL155" s="9">
        <v>0</v>
      </c>
      <c r="AM155"/>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0</v>
      </c>
      <c r="BQ155" s="9"/>
      <c r="BR155" s="9">
        <f>+BL155+BP155</f>
        <v>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c r="AJ156" s="9"/>
      <c r="AK156"/>
      <c r="AL156" s="9"/>
      <c r="AM156"/>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500000</v>
      </c>
      <c r="S157" s="10"/>
      <c r="T157" s="10">
        <v>0</v>
      </c>
      <c r="U157" s="10"/>
      <c r="V157" s="10">
        <v>0</v>
      </c>
      <c r="W157" s="10"/>
      <c r="X157" s="10">
        <v>0</v>
      </c>
      <c r="Y157" s="10"/>
      <c r="Z157" s="10">
        <v>0</v>
      </c>
      <c r="AA157" s="10"/>
      <c r="AB157" s="10">
        <v>0</v>
      </c>
      <c r="AC157" s="10"/>
      <c r="AD157" s="10">
        <v>0</v>
      </c>
      <c r="AE157" s="10"/>
      <c r="AF157" s="10">
        <v>0</v>
      </c>
      <c r="AG157" s="10"/>
      <c r="AH157" s="10">
        <v>0</v>
      </c>
      <c r="AI157"/>
      <c r="AJ157" s="10">
        <v>0</v>
      </c>
      <c r="AK157"/>
      <c r="AL157" s="10">
        <v>0</v>
      </c>
      <c r="AM157"/>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500000</v>
      </c>
      <c r="BQ157" s="10"/>
      <c r="BR157" s="9">
        <f>+BL157+BP157</f>
        <v>500000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c r="AJ158" s="9"/>
      <c r="AK158"/>
      <c r="AL158" s="9"/>
      <c r="AM158"/>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1253881</v>
      </c>
      <c r="S159" s="16"/>
      <c r="T159" s="9">
        <v>0</v>
      </c>
      <c r="U159" s="9"/>
      <c r="V159" s="9">
        <v>0</v>
      </c>
      <c r="W159" s="9"/>
      <c r="X159" s="9">
        <v>0</v>
      </c>
      <c r="Y159" s="9"/>
      <c r="Z159" s="9">
        <v>0</v>
      </c>
      <c r="AA159" s="9"/>
      <c r="AB159" s="9">
        <v>0</v>
      </c>
      <c r="AC159" s="9"/>
      <c r="AD159" s="9">
        <v>0</v>
      </c>
      <c r="AE159" s="9"/>
      <c r="AF159" s="9">
        <v>0</v>
      </c>
      <c r="AG159" s="9"/>
      <c r="AH159" s="9">
        <v>0</v>
      </c>
      <c r="AI159"/>
      <c r="AJ159" s="9">
        <v>0</v>
      </c>
      <c r="AK159"/>
      <c r="AL159" s="9">
        <v>0</v>
      </c>
      <c r="AM15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1253881</v>
      </c>
      <c r="BQ159" s="16"/>
      <c r="BR159" s="9">
        <f>+BL159+BP159</f>
        <v>1253881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c r="AJ160" s="9"/>
      <c r="AK160"/>
      <c r="AL160" s="9"/>
      <c r="AM160"/>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AI161"/>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28500</v>
      </c>
      <c r="S162" s="6"/>
      <c r="T162" s="6">
        <v>0</v>
      </c>
      <c r="U162" s="6"/>
      <c r="V162" s="6">
        <v>0</v>
      </c>
      <c r="X162" s="6">
        <v>0</v>
      </c>
      <c r="Z162" s="6">
        <v>20000</v>
      </c>
      <c r="AB162" s="6">
        <v>0</v>
      </c>
      <c r="AD162" s="6">
        <v>8500</v>
      </c>
      <c r="AF162" s="6">
        <v>0</v>
      </c>
      <c r="AH162" s="6">
        <v>0</v>
      </c>
      <c r="AI162"/>
      <c r="AJ162" s="6">
        <v>0</v>
      </c>
      <c r="AL162" s="6">
        <v>0</v>
      </c>
      <c r="AN162" s="6">
        <v>0</v>
      </c>
      <c r="AP162" s="6">
        <v>0</v>
      </c>
      <c r="AR162" s="6">
        <v>0</v>
      </c>
      <c r="AT162" s="6">
        <v>0</v>
      </c>
      <c r="AV162" s="6">
        <v>0</v>
      </c>
      <c r="AX162" s="6">
        <v>0</v>
      </c>
      <c r="AZ162" s="6">
        <v>0</v>
      </c>
      <c r="BB162" s="6">
        <v>0</v>
      </c>
      <c r="BD162" s="6">
        <v>0</v>
      </c>
      <c r="BF162" s="6">
        <v>0</v>
      </c>
      <c r="BH162" s="6">
        <v>0</v>
      </c>
      <c r="BJ162" s="6">
        <v>0</v>
      </c>
      <c r="BK162" s="6"/>
      <c r="BL162" s="6">
        <f>SUM(T162:BK162)</f>
        <v>28500</v>
      </c>
      <c r="BM162" s="6"/>
      <c r="BN162" s="6">
        <v>0</v>
      </c>
      <c r="BO162" s="6"/>
      <c r="BP162" s="6">
        <f>IF(+R162-BL162+BN162&gt;0,R162-BL162+BN162,0)</f>
        <v>0</v>
      </c>
      <c r="BR162" s="6">
        <f>+BL162+BP162</f>
        <v>28500</v>
      </c>
      <c r="BT162" s="6">
        <f>+R162-BR162</f>
        <v>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+R163-BL163+BN163</f>
        <v>0</v>
      </c>
      <c r="BR163" s="6">
        <f>+BL163+BP163</f>
        <v>0</v>
      </c>
      <c r="BT163" s="6">
        <f>+R163-BR163</f>
        <v>0</v>
      </c>
      <c r="BU163" s="6"/>
    </row>
    <row r="164" spans="1:73">
      <c r="A164" s="61"/>
      <c r="B164" s="11" t="s">
        <v>211</v>
      </c>
      <c r="E164" s="4"/>
      <c r="G164" s="4"/>
      <c r="I164" s="4"/>
      <c r="J164" s="5" t="s">
        <v>0</v>
      </c>
      <c r="L164" s="134" t="s">
        <v>204</v>
      </c>
      <c r="M164" s="6"/>
      <c r="O164" s="6"/>
      <c r="Q164" s="6"/>
      <c r="R164" s="6">
        <f>2280000-28500</f>
        <v>2251500</v>
      </c>
      <c r="S164" s="6"/>
      <c r="T164" s="6">
        <v>0</v>
      </c>
      <c r="U164" s="6"/>
      <c r="V164" s="6">
        <v>0</v>
      </c>
      <c r="X164" s="6">
        <v>0</v>
      </c>
      <c r="Z164" s="6">
        <v>0</v>
      </c>
      <c r="AB164" s="6">
        <v>1446361</v>
      </c>
      <c r="AD164" s="6">
        <v>0</v>
      </c>
      <c r="AF164" s="6">
        <v>0</v>
      </c>
      <c r="AH164" s="6">
        <v>821965.14</v>
      </c>
      <c r="AI164"/>
      <c r="AJ164" s="6">
        <v>0</v>
      </c>
      <c r="AL164" s="6">
        <v>0</v>
      </c>
      <c r="AN164" s="6">
        <v>1000</v>
      </c>
      <c r="AP164" s="6">
        <v>7992</v>
      </c>
      <c r="AR164" s="6">
        <v>0</v>
      </c>
      <c r="AT164" s="6">
        <v>0</v>
      </c>
      <c r="AV164" s="6">
        <v>0</v>
      </c>
      <c r="AX164" s="6">
        <v>0</v>
      </c>
      <c r="AZ164" s="6">
        <v>0</v>
      </c>
      <c r="BB164" s="6">
        <v>0</v>
      </c>
      <c r="BD164" s="6">
        <v>0</v>
      </c>
      <c r="BF164" s="6">
        <v>0</v>
      </c>
      <c r="BH164" s="6">
        <v>0</v>
      </c>
      <c r="BJ164" s="6">
        <v>0</v>
      </c>
      <c r="BK164" s="6"/>
      <c r="BL164" s="6">
        <f>SUM(T164:BK164)</f>
        <v>2277318.14</v>
      </c>
      <c r="BM164" s="6"/>
      <c r="BN164" s="6">
        <v>25818</v>
      </c>
      <c r="BO164" s="6"/>
      <c r="BP164" s="6">
        <f>IF(+R164-BL164+BN164&gt;0,R164-BL164+BN164,0)</f>
        <v>0</v>
      </c>
      <c r="BR164" s="6">
        <f>+BL164+BP164</f>
        <v>2277318.14</v>
      </c>
      <c r="BT164" s="6">
        <f>+R164-BR164</f>
        <v>-25818.14000000013</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AI165"/>
      <c r="BJ165" s="6"/>
      <c r="BK165" s="6"/>
      <c r="BM165" s="6"/>
      <c r="BN165" s="6"/>
      <c r="BO165" s="6"/>
      <c r="BP165" s="6">
        <f>+R165-BL165+BN165</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2280000</v>
      </c>
      <c r="S166" s="9"/>
      <c r="T166" s="102">
        <f>SUM(T162:T165)</f>
        <v>0</v>
      </c>
      <c r="U166" s="9"/>
      <c r="V166" s="102">
        <f>SUM(V162:V165)</f>
        <v>0</v>
      </c>
      <c r="W166" s="9"/>
      <c r="X166" s="102">
        <f>SUM(X162:X165)</f>
        <v>0</v>
      </c>
      <c r="Y166" s="9"/>
      <c r="Z166" s="102">
        <f>SUM(Z162:Z165)</f>
        <v>20000</v>
      </c>
      <c r="AA166" s="9"/>
      <c r="AB166" s="102">
        <f>SUM(AB162:AB165)</f>
        <v>1446361</v>
      </c>
      <c r="AC166" s="9"/>
      <c r="AD166" s="102">
        <f>SUM(AD162:AD165)</f>
        <v>8500</v>
      </c>
      <c r="AE166" s="9"/>
      <c r="AF166" s="102">
        <f>SUM(AF162:AF165)</f>
        <v>0</v>
      </c>
      <c r="AG166" s="9"/>
      <c r="AH166" s="102">
        <f>SUM(AH162:AH165)</f>
        <v>821965.14</v>
      </c>
      <c r="AI166"/>
      <c r="AJ166" s="102">
        <f>SUM(AJ162:AJ165)</f>
        <v>0</v>
      </c>
      <c r="AK166"/>
      <c r="AL166" s="102">
        <f>SUM(AL162:AL165)</f>
        <v>0</v>
      </c>
      <c r="AM166"/>
      <c r="AN166" s="102">
        <f>SUM(AN162:AN165)</f>
        <v>1000</v>
      </c>
      <c r="AO166" s="9"/>
      <c r="AP166" s="102">
        <f>SUM(AP162:AP165)</f>
        <v>7992</v>
      </c>
      <c r="AQ166" s="9"/>
      <c r="AR166" s="102">
        <f>SUM(AR162:AR165)</f>
        <v>0</v>
      </c>
      <c r="AS166" s="9"/>
      <c r="AT166" s="102">
        <f>SUM(AT162:AT165)</f>
        <v>0</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2305818.14</v>
      </c>
      <c r="BM166" s="9"/>
      <c r="BN166" s="102">
        <f>SUM(BN162:BN165)</f>
        <v>25818</v>
      </c>
      <c r="BO166" s="9"/>
      <c r="BP166" s="102">
        <f>SUM(BP162:BP165)</f>
        <v>0</v>
      </c>
      <c r="BQ166" s="9"/>
      <c r="BR166" s="102">
        <f>SUM(BR162:BR165)</f>
        <v>2305818.14</v>
      </c>
      <c r="BS166" s="9"/>
      <c r="BT166" s="102">
        <f>SUM(BT162:BT165)</f>
        <v>-25818.14000000013</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c r="AJ167" s="9"/>
      <c r="AK167"/>
      <c r="AL167" s="9"/>
      <c r="AM167"/>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AI168"/>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I169"/>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400000</v>
      </c>
      <c r="S171" s="6"/>
      <c r="T171" s="6">
        <v>0</v>
      </c>
      <c r="U171" s="6"/>
      <c r="V171" s="6">
        <v>0</v>
      </c>
      <c r="X171" s="6">
        <v>0</v>
      </c>
      <c r="Z171" s="6">
        <v>8000</v>
      </c>
      <c r="AB171" s="6">
        <v>24712</v>
      </c>
      <c r="AD171" s="6">
        <v>71081</v>
      </c>
      <c r="AF171" s="6">
        <f>11932.33+162+1167.32</f>
        <v>13261.65</v>
      </c>
      <c r="AH171" s="6">
        <f>22563.83+17013.6</f>
        <v>39577.43</v>
      </c>
      <c r="AI171"/>
      <c r="AJ171" s="6">
        <f>2460+6571.33+2789.89</f>
        <v>11821.22</v>
      </c>
      <c r="AL171" s="6">
        <v>11746.18</v>
      </c>
      <c r="AN171" s="6">
        <v>19877.66</v>
      </c>
      <c r="AP171" s="6">
        <f>12427.46+17404.94</f>
        <v>29832.399999999998</v>
      </c>
      <c r="AR171" s="6">
        <v>30507.3</v>
      </c>
      <c r="AT171" s="6">
        <v>0</v>
      </c>
      <c r="AV171" s="6">
        <v>0</v>
      </c>
      <c r="AX171" s="6">
        <v>0</v>
      </c>
      <c r="AZ171" s="6">
        <v>0</v>
      </c>
      <c r="BB171" s="6">
        <v>0</v>
      </c>
      <c r="BD171" s="6">
        <v>0</v>
      </c>
      <c r="BF171" s="6">
        <v>0</v>
      </c>
      <c r="BH171" s="6">
        <v>0</v>
      </c>
      <c r="BJ171" s="6">
        <v>0</v>
      </c>
      <c r="BK171" s="6"/>
      <c r="BL171" s="6">
        <f>SUM(T171:BK171)</f>
        <v>260416.83999999997</v>
      </c>
      <c r="BM171" s="6"/>
      <c r="BN171" s="6">
        <v>0</v>
      </c>
      <c r="BO171" s="6"/>
      <c r="BP171" s="6">
        <f>IF(+R171-BL171+BN171&gt;0,R171-BL171+BN171,0)</f>
        <v>139583.16000000003</v>
      </c>
      <c r="BR171" s="6">
        <f>+BL171+BP171</f>
        <v>400000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AI172"/>
      <c r="BJ172" s="6"/>
      <c r="BK172" s="6"/>
      <c r="BM172" s="6"/>
      <c r="BN172" s="6"/>
      <c r="BO172" s="6"/>
      <c r="BP172" s="6">
        <f>IF(+R172-BL172+BN172&gt;0,R172-BL172+BN172,0)</f>
        <v>0</v>
      </c>
      <c r="BU172" s="6"/>
    </row>
    <row r="173" spans="1:73" s="21" customFormat="1">
      <c r="A173" s="118"/>
      <c r="B173" s="58" t="s">
        <v>185</v>
      </c>
      <c r="J173" s="8"/>
      <c r="L173" s="143"/>
      <c r="M173" s="9"/>
      <c r="N173" s="102">
        <f>SUM(N169:N172)</f>
        <v>0</v>
      </c>
      <c r="O173" s="9"/>
      <c r="P173" s="102">
        <f>SUM(P169:P172)</f>
        <v>0</v>
      </c>
      <c r="Q173" s="9"/>
      <c r="R173" s="102">
        <f>SUM(R169:R172)</f>
        <v>400000</v>
      </c>
      <c r="S173" s="9"/>
      <c r="T173" s="102">
        <f>SUM(T169:T172)</f>
        <v>0</v>
      </c>
      <c r="U173" s="9"/>
      <c r="V173" s="102">
        <f>SUM(V169:V172)</f>
        <v>0</v>
      </c>
      <c r="W173" s="9"/>
      <c r="X173" s="102">
        <f>SUM(X169:X172)</f>
        <v>0</v>
      </c>
      <c r="Y173" s="9"/>
      <c r="Z173" s="102">
        <f>SUM(Z169:Z172)</f>
        <v>8000</v>
      </c>
      <c r="AA173" s="9"/>
      <c r="AB173" s="102">
        <f>SUM(AB169:AB172)</f>
        <v>24712</v>
      </c>
      <c r="AC173" s="9"/>
      <c r="AD173" s="102">
        <f>SUM(AD169:AD172)</f>
        <v>71081</v>
      </c>
      <c r="AE173" s="9"/>
      <c r="AF173" s="102">
        <f>SUM(AF169:AF172)</f>
        <v>13261.65</v>
      </c>
      <c r="AG173" s="9"/>
      <c r="AH173" s="102">
        <f>SUM(AH169:AH172)</f>
        <v>39577.43</v>
      </c>
      <c r="AI173"/>
      <c r="AJ173" s="102">
        <f>SUM(AJ169:AJ172)</f>
        <v>11821.22</v>
      </c>
      <c r="AK173"/>
      <c r="AL173" s="102">
        <f>SUM(AL169:AL172)</f>
        <v>11746.18</v>
      </c>
      <c r="AM173"/>
      <c r="AN173" s="102">
        <f>SUM(AN169:AN172)</f>
        <v>19877.66</v>
      </c>
      <c r="AO173" s="9"/>
      <c r="AP173" s="102">
        <f>SUM(AP169:AP172)</f>
        <v>29832.399999999998</v>
      </c>
      <c r="AQ173" s="9"/>
      <c r="AR173" s="102">
        <f>SUM(AR169:AR172)</f>
        <v>30507.3</v>
      </c>
      <c r="AS173" s="9"/>
      <c r="AT173" s="102">
        <f>SUM(AT169:AT172)</f>
        <v>0</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260416.83999999997</v>
      </c>
      <c r="BM173" s="9"/>
      <c r="BN173" s="102">
        <f>SUM(BN169:BN172)</f>
        <v>0</v>
      </c>
      <c r="BO173" s="9"/>
      <c r="BP173" s="102">
        <f>SUM(BP169:BP172)</f>
        <v>139583.16000000003</v>
      </c>
      <c r="BQ173" s="9"/>
      <c r="BR173" s="102">
        <f>SUM(BR169:BR172)</f>
        <v>400000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1000000</v>
      </c>
      <c r="S175" s="9"/>
      <c r="T175" s="9">
        <v>0</v>
      </c>
      <c r="U175" s="9"/>
      <c r="V175" s="9">
        <v>0</v>
      </c>
      <c r="W175" s="9"/>
      <c r="X175" s="9">
        <v>0</v>
      </c>
      <c r="Y175" s="9"/>
      <c r="Z175" s="9">
        <v>0</v>
      </c>
      <c r="AA175" s="9"/>
      <c r="AB175" s="9">
        <v>0</v>
      </c>
      <c r="AC175" s="9"/>
      <c r="AD175" s="9">
        <v>0</v>
      </c>
      <c r="AE175" s="9"/>
      <c r="AF175" s="9">
        <v>0</v>
      </c>
      <c r="AG175" s="9"/>
      <c r="AH175" s="9">
        <v>0</v>
      </c>
      <c r="AI175"/>
      <c r="AJ175" s="9">
        <v>0</v>
      </c>
      <c r="AK175"/>
      <c r="AL175" s="9">
        <v>0</v>
      </c>
      <c r="AM175"/>
      <c r="AN175" s="9">
        <v>50050</v>
      </c>
      <c r="AO175" s="9"/>
      <c r="AP175" s="9">
        <f>2348.07+158267.53</f>
        <v>160615.6</v>
      </c>
      <c r="AQ175" s="9"/>
      <c r="AR175" s="9">
        <v>0</v>
      </c>
      <c r="AS175" s="9"/>
      <c r="AT175" s="9">
        <v>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210665.60000000001</v>
      </c>
      <c r="BM175" s="9"/>
      <c r="BN175" s="9">
        <v>0</v>
      </c>
      <c r="BO175" s="9"/>
      <c r="BP175" s="6">
        <f>IF(+R175-BL175+BN175&gt;0,R175-BL175+BN175,0)</f>
        <v>789334.4</v>
      </c>
      <c r="BQ175" s="9"/>
      <c r="BR175" s="9">
        <f>+BL175+BP175</f>
        <v>1000000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3500000</v>
      </c>
      <c r="S177" s="9"/>
      <c r="T177" s="9">
        <v>0</v>
      </c>
      <c r="U177" s="9"/>
      <c r="V177" s="9">
        <v>0</v>
      </c>
      <c r="W177" s="9"/>
      <c r="X177" s="9">
        <v>0</v>
      </c>
      <c r="Y177" s="9"/>
      <c r="Z177" s="9">
        <v>0</v>
      </c>
      <c r="AA177" s="9"/>
      <c r="AB177" s="9">
        <v>0</v>
      </c>
      <c r="AC177" s="9"/>
      <c r="AD177" s="9">
        <v>0</v>
      </c>
      <c r="AE177" s="9"/>
      <c r="AF177" s="9">
        <v>0</v>
      </c>
      <c r="AG177" s="9"/>
      <c r="AH177" s="9">
        <v>0</v>
      </c>
      <c r="AI177"/>
      <c r="AJ177" s="9">
        <v>0</v>
      </c>
      <c r="AK177"/>
      <c r="AL177" s="9">
        <v>0</v>
      </c>
      <c r="AM177"/>
      <c r="AN177" s="9">
        <v>0</v>
      </c>
      <c r="AO177" s="9"/>
      <c r="AP177" s="9">
        <v>0</v>
      </c>
      <c r="AQ177" s="9"/>
      <c r="AR177" s="9">
        <v>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0</v>
      </c>
      <c r="BM177" s="9"/>
      <c r="BN177" s="9">
        <v>3000000</v>
      </c>
      <c r="BO177" s="9"/>
      <c r="BP177" s="6">
        <f>IF(+R177-BL177+BN177&gt;0,R177-BL177+BN177,0)</f>
        <v>6500000</v>
      </c>
      <c r="BQ177" s="9"/>
      <c r="BR177" s="9">
        <f>+BL177+BP177</f>
        <v>6500000</v>
      </c>
      <c r="BS177" s="9"/>
      <c r="BT177" s="9">
        <f>+R177-BR177</f>
        <v>-3000000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c r="AJ179" s="22"/>
      <c r="AK179"/>
      <c r="AL179" s="22"/>
      <c r="AM179"/>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c r="AJ180" s="22">
        <v>0</v>
      </c>
      <c r="AK180"/>
      <c r="AL180" s="22">
        <v>0</v>
      </c>
      <c r="AM180"/>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1500000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1500000</v>
      </c>
      <c r="BQ181" s="22"/>
      <c r="BR181" s="6">
        <f>+BL181+BP181</f>
        <v>1500000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1500000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c r="AJ183" s="108">
        <f>SUM(AJ180:AJ182)</f>
        <v>0</v>
      </c>
      <c r="AK183"/>
      <c r="AL183" s="108">
        <f>SUM(AL180:AL182)</f>
        <v>0</v>
      </c>
      <c r="AM183"/>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1500000</v>
      </c>
      <c r="BQ183" s="16"/>
      <c r="BR183" s="108">
        <f>SUM(BR180:BR182)</f>
        <v>1500000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c r="AJ184" s="103"/>
      <c r="AK184"/>
      <c r="AL184" s="103"/>
      <c r="AM184"/>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150000</v>
      </c>
      <c r="S185" s="10"/>
      <c r="T185" s="10">
        <v>0</v>
      </c>
      <c r="U185" s="10"/>
      <c r="V185" s="10">
        <v>0</v>
      </c>
      <c r="W185" s="10"/>
      <c r="X185" s="10">
        <v>0</v>
      </c>
      <c r="Y185" s="10"/>
      <c r="Z185" s="10">
        <v>0</v>
      </c>
      <c r="AA185" s="10"/>
      <c r="AB185" s="10">
        <v>0</v>
      </c>
      <c r="AC185" s="10"/>
      <c r="AD185" s="10">
        <v>0</v>
      </c>
      <c r="AE185" s="10"/>
      <c r="AF185" s="10">
        <v>0</v>
      </c>
      <c r="AG185" s="10"/>
      <c r="AH185" s="10">
        <v>0</v>
      </c>
      <c r="AI185"/>
      <c r="AJ185" s="10">
        <v>0</v>
      </c>
      <c r="AK185"/>
      <c r="AL185" s="10">
        <v>0</v>
      </c>
      <c r="AM185"/>
      <c r="AN185" s="10">
        <v>0</v>
      </c>
      <c r="AO185" s="10"/>
      <c r="AP185" s="10">
        <v>0</v>
      </c>
      <c r="AQ185" s="10"/>
      <c r="AR185" s="10">
        <v>266248.5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266248.5</v>
      </c>
      <c r="BM185" s="10"/>
      <c r="BN185" s="10">
        <v>0</v>
      </c>
      <c r="BO185" s="10"/>
      <c r="BP185" s="6">
        <f>IF(+R185-BL185+BN185&gt;0,R185-BL185+BN185,0)</f>
        <v>0</v>
      </c>
      <c r="BQ185" s="10"/>
      <c r="BR185" s="9">
        <f>+BL185+BP185</f>
        <v>266248.5</v>
      </c>
      <c r="BS185" s="10"/>
      <c r="BT185" s="9">
        <f>+R185-BR185</f>
        <v>-116248.5</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c r="AJ186" s="22"/>
      <c r="AK186"/>
      <c r="AL186" s="22"/>
      <c r="AM186"/>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v>0</v>
      </c>
      <c r="AC187" s="10"/>
      <c r="AD187" s="10">
        <v>29401.83</v>
      </c>
      <c r="AE187" s="10"/>
      <c r="AF187" s="10">
        <v>13770.85</v>
      </c>
      <c r="AG187" s="10"/>
      <c r="AH187" s="10">
        <v>7745.74</v>
      </c>
      <c r="AI187"/>
      <c r="AJ187" s="10">
        <v>6275.69</v>
      </c>
      <c r="AK187"/>
      <c r="AL187" s="10">
        <v>0</v>
      </c>
      <c r="AM187"/>
      <c r="AN187" s="10">
        <v>0</v>
      </c>
      <c r="AO187" s="10"/>
      <c r="AP187" s="10">
        <v>0</v>
      </c>
      <c r="AQ187" s="10"/>
      <c r="AR187" s="10">
        <v>0</v>
      </c>
      <c r="AS187" s="10"/>
      <c r="AT187" s="10">
        <v>0</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57194.11</v>
      </c>
      <c r="BM187" s="10"/>
      <c r="BN187" s="10">
        <v>0</v>
      </c>
      <c r="BO187" s="10"/>
      <c r="BP187" s="6">
        <f>IF(+R187-BL187+BN187&gt;0,R187-BL187+BN187,0)</f>
        <v>142805.89000000001</v>
      </c>
      <c r="BQ187" s="10"/>
      <c r="BR187" s="9">
        <f>+BL187+BP187</f>
        <v>200000</v>
      </c>
      <c r="BS187" s="10"/>
      <c r="BT187" s="6">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c r="AJ188" s="22"/>
      <c r="AK188"/>
      <c r="AL188" s="22"/>
      <c r="AM188"/>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AI189"/>
      <c r="BJ189" s="6"/>
      <c r="BK189" s="6"/>
      <c r="BM189" s="6"/>
      <c r="BN189" s="6"/>
      <c r="BO189" s="6"/>
      <c r="BU189" s="6"/>
    </row>
    <row r="190" spans="1:73" s="11" customFormat="1">
      <c r="A190" s="17"/>
      <c r="B190" s="11" t="s">
        <v>186</v>
      </c>
      <c r="J190" s="160"/>
      <c r="L190" s="146" t="s">
        <v>205</v>
      </c>
      <c r="M190" s="12"/>
      <c r="N190" s="12">
        <v>200000</v>
      </c>
      <c r="O190" s="12"/>
      <c r="P190" s="12">
        <v>0</v>
      </c>
      <c r="Q190" s="12"/>
      <c r="R190" s="6">
        <v>35000</v>
      </c>
      <c r="S190" s="12"/>
      <c r="T190" s="12">
        <v>0</v>
      </c>
      <c r="U190" s="12"/>
      <c r="V190" s="12">
        <v>0</v>
      </c>
      <c r="W190" s="12"/>
      <c r="X190" s="12">
        <v>22604</v>
      </c>
      <c r="Y190" s="12"/>
      <c r="Z190" s="12">
        <v>0</v>
      </c>
      <c r="AA190" s="12"/>
      <c r="AB190" s="12">
        <v>7949</v>
      </c>
      <c r="AC190" s="12"/>
      <c r="AD190" s="12">
        <v>0</v>
      </c>
      <c r="AE190" s="12"/>
      <c r="AF190" s="12"/>
      <c r="AG190" s="12"/>
      <c r="AH190" s="12">
        <v>0</v>
      </c>
      <c r="AI190"/>
      <c r="AJ190" s="12">
        <v>0</v>
      </c>
      <c r="AK190"/>
      <c r="AL190" s="12">
        <v>6591.41</v>
      </c>
      <c r="AM190"/>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37144.410000000003</v>
      </c>
      <c r="BM190" s="12"/>
      <c r="BN190" s="12">
        <v>2144</v>
      </c>
      <c r="BO190" s="12"/>
      <c r="BP190" s="6">
        <f t="shared" ref="BP190:BP195" si="29">IF(+R190-BL190+BN190&gt;0,R190-BL190+BN190,0)</f>
        <v>0</v>
      </c>
      <c r="BQ190" s="12"/>
      <c r="BR190" s="6">
        <f t="shared" ref="BR190:BR195" si="30">+BL190+BP190</f>
        <v>37144.410000000003</v>
      </c>
      <c r="BS190" s="12"/>
      <c r="BT190" s="6">
        <f t="shared" ref="BT190:BT195" si="31">+R190-BR190</f>
        <v>-2144.4100000000035</v>
      </c>
      <c r="BU190" s="12"/>
    </row>
    <row r="191" spans="1:73" s="11" customFormat="1">
      <c r="A191" s="17"/>
      <c r="B191" s="11" t="s">
        <v>34</v>
      </c>
      <c r="J191" s="160"/>
      <c r="L191" s="146" t="s">
        <v>205</v>
      </c>
      <c r="M191" s="12"/>
      <c r="N191" s="12">
        <v>0</v>
      </c>
      <c r="O191" s="12"/>
      <c r="P191" s="12">
        <v>50000</v>
      </c>
      <c r="Q191" s="12"/>
      <c r="R191" s="6">
        <v>45000</v>
      </c>
      <c r="S191" s="12"/>
      <c r="T191" s="12">
        <v>0</v>
      </c>
      <c r="U191" s="12"/>
      <c r="V191" s="12">
        <v>1236</v>
      </c>
      <c r="W191" s="12"/>
      <c r="X191" s="12">
        <v>9770</v>
      </c>
      <c r="Y191" s="12"/>
      <c r="Z191" s="12">
        <v>5706</v>
      </c>
      <c r="AA191" s="12"/>
      <c r="AB191" s="12">
        <v>9652</v>
      </c>
      <c r="AC191" s="12"/>
      <c r="AD191" s="12">
        <v>3504</v>
      </c>
      <c r="AE191" s="12"/>
      <c r="AF191" s="12">
        <v>5185.43</v>
      </c>
      <c r="AG191" s="12"/>
      <c r="AH191" s="12">
        <v>3598.69</v>
      </c>
      <c r="AI191"/>
      <c r="AJ191" s="12">
        <v>3892.71</v>
      </c>
      <c r="AK191"/>
      <c r="AL191" s="12">
        <v>6342.74</v>
      </c>
      <c r="AM191"/>
      <c r="AN191" s="12">
        <v>1599.42</v>
      </c>
      <c r="AO191" s="12"/>
      <c r="AP191" s="12">
        <v>3506.18</v>
      </c>
      <c r="AQ191" s="12"/>
      <c r="AR191" s="12">
        <f>990.59+40.7</f>
        <v>1031.29</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si="28"/>
        <v>55024.46</v>
      </c>
      <c r="BM191" s="12"/>
      <c r="BN191" s="12">
        <v>6683</v>
      </c>
      <c r="BO191" s="12"/>
      <c r="BP191" s="6">
        <f t="shared" si="29"/>
        <v>0</v>
      </c>
      <c r="BQ191" s="12"/>
      <c r="BR191" s="6">
        <f t="shared" si="30"/>
        <v>55024.46</v>
      </c>
      <c r="BS191" s="12"/>
      <c r="BT191" s="6">
        <f t="shared" si="31"/>
        <v>-10024.459999999999</v>
      </c>
      <c r="BU191" s="12"/>
    </row>
    <row r="192" spans="1:73" s="11" customFormat="1">
      <c r="A192" s="17"/>
      <c r="B192" s="11" t="s">
        <v>377</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c r="AJ192" s="12">
        <v>0</v>
      </c>
      <c r="AK192"/>
      <c r="AL192" s="12">
        <v>0</v>
      </c>
      <c r="AM192"/>
      <c r="AN192" s="12">
        <v>37759.78</v>
      </c>
      <c r="AO192" s="12"/>
      <c r="AP192" s="12">
        <v>42194.99</v>
      </c>
      <c r="AQ192" s="12"/>
      <c r="AR192" s="12">
        <v>35999.89</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115954.65999999999</v>
      </c>
      <c r="BM192" s="12"/>
      <c r="BN192" s="12">
        <v>79955</v>
      </c>
      <c r="BO192" s="12"/>
      <c r="BP192" s="6">
        <f t="shared" si="29"/>
        <v>0</v>
      </c>
      <c r="BQ192" s="12"/>
      <c r="BR192" s="6">
        <f t="shared" si="30"/>
        <v>115954.65999999999</v>
      </c>
      <c r="BS192" s="12"/>
      <c r="BT192" s="6">
        <f t="shared" si="31"/>
        <v>-115954.65999999999</v>
      </c>
      <c r="BU192" s="12"/>
    </row>
    <row r="193" spans="1:122" s="11" customFormat="1">
      <c r="A193" s="17"/>
      <c r="B193" s="11" t="s">
        <v>122</v>
      </c>
      <c r="J193" s="160"/>
      <c r="L193" s="146" t="s">
        <v>205</v>
      </c>
      <c r="M193" s="12"/>
      <c r="N193" s="12">
        <v>400000</v>
      </c>
      <c r="O193" s="12"/>
      <c r="P193" s="12">
        <f>49065-N193-6000</f>
        <v>-356935</v>
      </c>
      <c r="Q193" s="12"/>
      <c r="R193" s="6">
        <f>129593+5000</f>
        <v>134593</v>
      </c>
      <c r="S193" s="12"/>
      <c r="T193" s="12">
        <v>0</v>
      </c>
      <c r="U193" s="12"/>
      <c r="V193" s="12">
        <v>0</v>
      </c>
      <c r="W193" s="12"/>
      <c r="X193" s="12">
        <v>46735</v>
      </c>
      <c r="Y193" s="12"/>
      <c r="Z193" s="12">
        <v>21114</v>
      </c>
      <c r="AA193" s="12"/>
      <c r="AB193" s="12">
        <v>1899</v>
      </c>
      <c r="AC193" s="12"/>
      <c r="AD193" s="12">
        <v>8288</v>
      </c>
      <c r="AE193" s="12"/>
      <c r="AF193" s="12">
        <f>3330+7426.97+30387.78+738+100+50+20+10+11200+31000</f>
        <v>84262.75</v>
      </c>
      <c r="AG193" s="12"/>
      <c r="AH193" s="12">
        <f>10000+838.34</f>
        <v>10838.34</v>
      </c>
      <c r="AI193"/>
      <c r="AJ193" s="12">
        <v>0</v>
      </c>
      <c r="AK193"/>
      <c r="AL193" s="12">
        <v>20657.14</v>
      </c>
      <c r="AM193"/>
      <c r="AN193" s="12">
        <f>46225.52-37759.78</f>
        <v>8465.739999999998</v>
      </c>
      <c r="AO193" s="12"/>
      <c r="AP193" s="12">
        <f>1415.06+712.75</f>
        <v>2127.81</v>
      </c>
      <c r="AQ193" s="12"/>
      <c r="AR193" s="12">
        <f>2610</f>
        <v>2610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28"/>
        <v>206997.77999999997</v>
      </c>
      <c r="BM193" s="12"/>
      <c r="BN193" s="12">
        <v>106842</v>
      </c>
      <c r="BO193" s="12"/>
      <c r="BP193" s="6">
        <f t="shared" si="29"/>
        <v>34437.22000000003</v>
      </c>
      <c r="BQ193" s="12"/>
      <c r="BR193" s="6">
        <f t="shared" si="30"/>
        <v>241435</v>
      </c>
      <c r="BS193" s="12"/>
      <c r="BT193" s="6">
        <f t="shared" si="31"/>
        <v>-106842</v>
      </c>
      <c r="BU193" s="12"/>
    </row>
    <row r="194" spans="1:122" s="11" customFormat="1">
      <c r="A194" s="17"/>
      <c r="B194" s="11" t="s">
        <v>507</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c r="AJ194" s="12"/>
      <c r="AK194"/>
      <c r="AL194" s="12"/>
      <c r="AM194"/>
      <c r="AN194" s="12"/>
      <c r="AO194" s="12"/>
      <c r="AP194" s="12">
        <v>83333.33</v>
      </c>
      <c r="AQ194" s="12"/>
      <c r="AR194" s="12">
        <f>82333.33+25346.23</f>
        <v>107679.56</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191012.89</v>
      </c>
      <c r="BM194" s="12"/>
      <c r="BN194" s="12">
        <v>0</v>
      </c>
      <c r="BO194" s="12"/>
      <c r="BP194" s="6">
        <f t="shared" si="29"/>
        <v>0</v>
      </c>
      <c r="BQ194" s="12"/>
      <c r="BR194" s="6">
        <f t="shared" si="30"/>
        <v>191012.89</v>
      </c>
      <c r="BS194" s="12"/>
      <c r="BT194" s="6">
        <f t="shared" si="31"/>
        <v>-191012.89</v>
      </c>
      <c r="BU194" s="12"/>
    </row>
    <row r="195" spans="1:122" s="11" customFormat="1">
      <c r="A195" s="17"/>
      <c r="B195" s="11" t="s">
        <v>287</v>
      </c>
      <c r="J195" s="160"/>
      <c r="L195" s="146"/>
      <c r="M195" s="12"/>
      <c r="N195" s="12"/>
      <c r="O195" s="12"/>
      <c r="P195" s="12"/>
      <c r="Q195" s="12"/>
      <c r="R195" s="6"/>
      <c r="S195" s="12"/>
      <c r="T195" s="12"/>
      <c r="U195" s="12"/>
      <c r="V195" s="12"/>
      <c r="W195" s="12"/>
      <c r="X195" s="12"/>
      <c r="Y195" s="12"/>
      <c r="Z195" s="12"/>
      <c r="AA195" s="12"/>
      <c r="AB195" s="12"/>
      <c r="AC195" s="12"/>
      <c r="AD195" s="12"/>
      <c r="AE195" s="12"/>
      <c r="AF195" s="12">
        <f>199867.23-30387.78-11200-31000</f>
        <v>127279.45000000001</v>
      </c>
      <c r="AG195" s="12"/>
      <c r="AH195" s="12">
        <f>1916.6+566.91+3047.17+16608.78+17351.65+10439.68</f>
        <v>49930.79</v>
      </c>
      <c r="AI195"/>
      <c r="AJ195" s="12">
        <v>29848.78</v>
      </c>
      <c r="AK195"/>
      <c r="AL195" s="12"/>
      <c r="AM195"/>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207059.02000000002</v>
      </c>
      <c r="BM195" s="12"/>
      <c r="BN195" s="12">
        <v>207060</v>
      </c>
      <c r="BO195" s="12"/>
      <c r="BP195" s="6">
        <f t="shared" si="29"/>
        <v>0.97999999998137355</v>
      </c>
      <c r="BQ195" s="12"/>
      <c r="BR195" s="6">
        <f t="shared" si="30"/>
        <v>207060</v>
      </c>
      <c r="BS195" s="12"/>
      <c r="BT195" s="6">
        <f t="shared" si="31"/>
        <v>-207060</v>
      </c>
      <c r="BU195" s="12"/>
    </row>
    <row r="196" spans="1:122" s="21" customFormat="1">
      <c r="A196" s="56"/>
      <c r="B196" s="31" t="s">
        <v>41</v>
      </c>
      <c r="J196" s="8"/>
      <c r="L196" s="143"/>
      <c r="M196" s="9"/>
      <c r="N196" s="102">
        <f>SUM(N190:N193)</f>
        <v>600000</v>
      </c>
      <c r="O196" s="9"/>
      <c r="P196" s="102">
        <f>SUM(P190:P193)</f>
        <v>-282700</v>
      </c>
      <c r="Q196" s="9"/>
      <c r="R196" s="102">
        <f t="shared" ref="R196:AD196" si="32">SUM(R190:R195)</f>
        <v>214593</v>
      </c>
      <c r="S196" s="102">
        <f t="shared" si="32"/>
        <v>0</v>
      </c>
      <c r="T196" s="102">
        <f t="shared" si="32"/>
        <v>0</v>
      </c>
      <c r="U196" s="102">
        <f t="shared" si="32"/>
        <v>0</v>
      </c>
      <c r="V196" s="102">
        <f t="shared" si="32"/>
        <v>1236</v>
      </c>
      <c r="W196" s="102">
        <f t="shared" si="32"/>
        <v>0</v>
      </c>
      <c r="X196" s="102">
        <f t="shared" si="32"/>
        <v>79109</v>
      </c>
      <c r="Y196" s="102">
        <f t="shared" si="32"/>
        <v>0</v>
      </c>
      <c r="Z196" s="102">
        <f t="shared" si="32"/>
        <v>26820</v>
      </c>
      <c r="AA196" s="102">
        <f t="shared" si="32"/>
        <v>0</v>
      </c>
      <c r="AB196" s="102">
        <f t="shared" si="32"/>
        <v>19500</v>
      </c>
      <c r="AC196" s="102">
        <f t="shared" si="32"/>
        <v>0</v>
      </c>
      <c r="AD196" s="102">
        <f t="shared" si="32"/>
        <v>11792</v>
      </c>
      <c r="AE196" s="102"/>
      <c r="AF196" s="102">
        <f>SUM(AF190:AF195)</f>
        <v>216727.63</v>
      </c>
      <c r="AG196" s="102"/>
      <c r="AH196" s="102">
        <f t="shared" ref="AH196:BL196" si="33">SUM(AH190:AH195)</f>
        <v>64367.82</v>
      </c>
      <c r="AI196"/>
      <c r="AJ196" s="102">
        <f t="shared" si="33"/>
        <v>33741.49</v>
      </c>
      <c r="AK196"/>
      <c r="AL196" s="102">
        <f t="shared" si="33"/>
        <v>33591.29</v>
      </c>
      <c r="AM196"/>
      <c r="AN196" s="102">
        <f t="shared" si="33"/>
        <v>47824.939999999995</v>
      </c>
      <c r="AO196" s="102">
        <f t="shared" si="33"/>
        <v>0</v>
      </c>
      <c r="AP196" s="102">
        <f t="shared" si="33"/>
        <v>131162.31</v>
      </c>
      <c r="AQ196" s="102">
        <f t="shared" si="33"/>
        <v>0</v>
      </c>
      <c r="AR196" s="102">
        <f t="shared" si="33"/>
        <v>147320.74</v>
      </c>
      <c r="AS196" s="102">
        <f t="shared" si="33"/>
        <v>0</v>
      </c>
      <c r="AT196" s="102">
        <f t="shared" si="33"/>
        <v>0</v>
      </c>
      <c r="AU196" s="102">
        <f t="shared" si="33"/>
        <v>0</v>
      </c>
      <c r="AV196" s="102">
        <f t="shared" si="33"/>
        <v>0</v>
      </c>
      <c r="AW196" s="102">
        <f t="shared" si="33"/>
        <v>0</v>
      </c>
      <c r="AX196" s="102">
        <f t="shared" si="33"/>
        <v>0</v>
      </c>
      <c r="AY196" s="102">
        <f t="shared" si="33"/>
        <v>0</v>
      </c>
      <c r="AZ196" s="102">
        <f t="shared" si="33"/>
        <v>0</v>
      </c>
      <c r="BA196" s="102">
        <f t="shared" si="33"/>
        <v>0</v>
      </c>
      <c r="BB196" s="102">
        <f t="shared" si="33"/>
        <v>0</v>
      </c>
      <c r="BC196" s="102">
        <f t="shared" si="33"/>
        <v>0</v>
      </c>
      <c r="BD196" s="102">
        <f t="shared" si="33"/>
        <v>0</v>
      </c>
      <c r="BE196" s="102">
        <f t="shared" si="33"/>
        <v>0</v>
      </c>
      <c r="BF196" s="102">
        <f t="shared" si="33"/>
        <v>0</v>
      </c>
      <c r="BG196" s="102">
        <f t="shared" si="33"/>
        <v>0</v>
      </c>
      <c r="BH196" s="102">
        <f t="shared" si="33"/>
        <v>0</v>
      </c>
      <c r="BI196" s="102">
        <f t="shared" si="33"/>
        <v>0</v>
      </c>
      <c r="BJ196" s="102">
        <f t="shared" si="33"/>
        <v>0</v>
      </c>
      <c r="BK196" s="102">
        <f t="shared" si="33"/>
        <v>0</v>
      </c>
      <c r="BL196" s="102">
        <f t="shared" si="33"/>
        <v>813193.22</v>
      </c>
      <c r="BM196" s="102">
        <f t="shared" ref="BM196:BT196" si="34">SUM(BM190:BM195)</f>
        <v>0</v>
      </c>
      <c r="BN196" s="102">
        <f t="shared" si="34"/>
        <v>402684</v>
      </c>
      <c r="BO196" s="102">
        <f t="shared" si="34"/>
        <v>0</v>
      </c>
      <c r="BP196" s="102">
        <f t="shared" si="34"/>
        <v>34438.200000000012</v>
      </c>
      <c r="BQ196" s="102">
        <f t="shared" si="34"/>
        <v>0</v>
      </c>
      <c r="BR196" s="102">
        <f t="shared" si="34"/>
        <v>847631.41999999993</v>
      </c>
      <c r="BS196" s="102">
        <f t="shared" si="34"/>
        <v>0</v>
      </c>
      <c r="BT196" s="102">
        <f t="shared" si="34"/>
        <v>-633038.42000000004</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c r="AJ197" s="10"/>
      <c r="AK197"/>
      <c r="AL197" s="10"/>
      <c r="AM197"/>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206751</v>
      </c>
      <c r="S199" s="12"/>
      <c r="T199" s="12">
        <v>0</v>
      </c>
      <c r="U199" s="12"/>
      <c r="V199" s="12">
        <v>0</v>
      </c>
      <c r="W199" s="12"/>
      <c r="X199" s="12">
        <v>0</v>
      </c>
      <c r="Y199" s="12"/>
      <c r="Z199" s="12">
        <v>0</v>
      </c>
      <c r="AA199" s="12"/>
      <c r="AB199" s="12">
        <v>0</v>
      </c>
      <c r="AC199" s="12"/>
      <c r="AD199" s="12">
        <v>605</v>
      </c>
      <c r="AE199" s="12"/>
      <c r="AF199" s="12">
        <v>0</v>
      </c>
      <c r="AG199" s="12"/>
      <c r="AH199" s="12">
        <v>0</v>
      </c>
      <c r="AI199"/>
      <c r="AJ199" s="12">
        <v>0</v>
      </c>
      <c r="AK199"/>
      <c r="AL199" s="12">
        <v>0</v>
      </c>
      <c r="AM199"/>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605</v>
      </c>
      <c r="BM199" s="12"/>
      <c r="BN199" s="12">
        <v>0</v>
      </c>
      <c r="BO199" s="12"/>
      <c r="BP199" s="6">
        <f>IF(+R199-BL199+BN199&gt;0,R199-BL199+BN199,0)</f>
        <v>206146</v>
      </c>
      <c r="BQ199" s="12"/>
      <c r="BR199" s="6">
        <f>+BL199+BP199</f>
        <v>206751</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122</v>
      </c>
      <c r="J200" s="160"/>
      <c r="L200" s="146" t="s">
        <v>205</v>
      </c>
      <c r="M200" s="12"/>
      <c r="N200" s="12">
        <v>500000</v>
      </c>
      <c r="O200" s="12"/>
      <c r="P200" s="12">
        <v>-300000</v>
      </c>
      <c r="Q200" s="12"/>
      <c r="R200" s="6">
        <v>50000</v>
      </c>
      <c r="S200" s="12"/>
      <c r="T200" s="12">
        <v>0</v>
      </c>
      <c r="U200" s="12"/>
      <c r="V200" s="12">
        <v>0</v>
      </c>
      <c r="W200" s="12"/>
      <c r="X200" s="12">
        <v>0</v>
      </c>
      <c r="Y200" s="12"/>
      <c r="Z200" s="12">
        <v>10000</v>
      </c>
      <c r="AA200" s="12"/>
      <c r="AB200" s="12"/>
      <c r="AC200" s="12"/>
      <c r="AD200" s="12"/>
      <c r="AE200" s="12"/>
      <c r="AF200" s="12">
        <v>0</v>
      </c>
      <c r="AG200" s="12"/>
      <c r="AH200" s="12">
        <v>21422.91</v>
      </c>
      <c r="AI200"/>
      <c r="AJ200" s="12">
        <v>0</v>
      </c>
      <c r="AK200"/>
      <c r="AL200" s="12">
        <v>75</v>
      </c>
      <c r="AM200"/>
      <c r="AN200" s="12">
        <v>6749.05</v>
      </c>
      <c r="AO200" s="12"/>
      <c r="AP200" s="12">
        <v>4454.9799999999996</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42701.94</v>
      </c>
      <c r="BM200" s="12"/>
      <c r="BN200" s="12">
        <v>0</v>
      </c>
      <c r="BO200" s="12"/>
      <c r="BP200" s="6">
        <f>IF(+R200-BL200+BN200&gt;0,R200-BL200+BN200,0)</f>
        <v>7298.0599999999977</v>
      </c>
      <c r="BQ200" s="12"/>
      <c r="BR200" s="6">
        <f>+BL200+BP200</f>
        <v>50000</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J201" s="160"/>
      <c r="L201" s="146"/>
      <c r="M201" s="12"/>
      <c r="N201" s="12"/>
      <c r="O201" s="12"/>
      <c r="P201" s="12">
        <v>5511</v>
      </c>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f>SUM(T201:BK201)</f>
        <v>0</v>
      </c>
      <c r="BM201" s="12"/>
      <c r="BN201" s="12">
        <v>0</v>
      </c>
      <c r="BO201" s="12"/>
      <c r="BP201" s="6">
        <f>IF(+R201-BL201+BN201&gt;0,R201-BL201+BN201,0)</f>
        <v>0</v>
      </c>
      <c r="BQ201" s="12"/>
      <c r="BR201" s="6">
        <f>+BL201+BP201</f>
        <v>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t="s">
        <v>42</v>
      </c>
      <c r="J202" s="8"/>
      <c r="L202" s="143"/>
      <c r="M202" s="9"/>
      <c r="N202" s="102">
        <f>SUM(N199:N201)</f>
        <v>500000</v>
      </c>
      <c r="O202" s="102">
        <f>SUM(O199:O201)</f>
        <v>0</v>
      </c>
      <c r="P202" s="102">
        <f>SUM(P199:P201)</f>
        <v>0</v>
      </c>
      <c r="Q202" s="102">
        <f>SUM(Q199:Q201)</f>
        <v>0</v>
      </c>
      <c r="R202" s="102">
        <f>SUM(R199:R201)</f>
        <v>256751</v>
      </c>
      <c r="S202" s="9"/>
      <c r="T202" s="102">
        <f>SUM(T199:T201)</f>
        <v>0</v>
      </c>
      <c r="U202" s="9"/>
      <c r="V202" s="102">
        <f>SUM(V199:V201)</f>
        <v>0</v>
      </c>
      <c r="W202" s="9"/>
      <c r="X202" s="102">
        <f>SUM(X199:X201)</f>
        <v>0</v>
      </c>
      <c r="Y202" s="9"/>
      <c r="Z202" s="102">
        <f>SUM(Z199:Z201)</f>
        <v>10000</v>
      </c>
      <c r="AA202" s="9"/>
      <c r="AB202" s="102">
        <f>SUM(AB199:AB201)</f>
        <v>0</v>
      </c>
      <c r="AC202" s="9"/>
      <c r="AD202" s="102">
        <f>SUM(AD199:AD201)</f>
        <v>605</v>
      </c>
      <c r="AE202" s="9"/>
      <c r="AF202" s="102">
        <f>SUM(AF199:AF201)</f>
        <v>0</v>
      </c>
      <c r="AG202" s="9"/>
      <c r="AH202" s="102">
        <f>SUM(AH199:AH201)</f>
        <v>21422.91</v>
      </c>
      <c r="AI202"/>
      <c r="AJ202" s="102">
        <f>SUM(AJ199:AJ201)</f>
        <v>0</v>
      </c>
      <c r="AK202"/>
      <c r="AL202" s="102">
        <f>SUM(AL199:AL201)</f>
        <v>75</v>
      </c>
      <c r="AM202"/>
      <c r="AN202" s="102">
        <f>SUM(AN199:AN201)</f>
        <v>6749.05</v>
      </c>
      <c r="AO202" s="9"/>
      <c r="AP202" s="102">
        <f>SUM(AP199:AP201)</f>
        <v>4454.9799999999996</v>
      </c>
      <c r="AQ202" s="9"/>
      <c r="AR202" s="102">
        <f>SUM(AR199:AR201)</f>
        <v>0</v>
      </c>
      <c r="AS202" s="9"/>
      <c r="AT202" s="102">
        <f>SUM(AT199:AT201)</f>
        <v>0</v>
      </c>
      <c r="AU202" s="10"/>
      <c r="AV202" s="102">
        <f>SUM(AV199:AV201)</f>
        <v>0</v>
      </c>
      <c r="AW202" s="10"/>
      <c r="AX202" s="102">
        <f>SUM(AX199:AX201)</f>
        <v>0</v>
      </c>
      <c r="AY202" s="10"/>
      <c r="AZ202" s="102">
        <f>SUM(AZ199:AZ201)</f>
        <v>0</v>
      </c>
      <c r="BA202" s="10"/>
      <c r="BB202" s="102">
        <f>SUM(BB199:BB201)</f>
        <v>0</v>
      </c>
      <c r="BC202" s="10"/>
      <c r="BD202" s="102">
        <f>SUM(BD199:BD201)</f>
        <v>0</v>
      </c>
      <c r="BE202" s="10"/>
      <c r="BF202" s="102">
        <f>SUM(BF199:BF201)</f>
        <v>0</v>
      </c>
      <c r="BG202" s="10"/>
      <c r="BH202" s="102">
        <f>SUM(BH199:BH201)</f>
        <v>0</v>
      </c>
      <c r="BI202" s="10"/>
      <c r="BJ202" s="102">
        <f>SUM(BJ199:BJ201)</f>
        <v>0</v>
      </c>
      <c r="BK202" s="9"/>
      <c r="BL202" s="102">
        <f>SUM(BL199:BL201)</f>
        <v>43306.94</v>
      </c>
      <c r="BM202" s="9"/>
      <c r="BN202" s="102">
        <f>SUM(BN199:BN201)</f>
        <v>0</v>
      </c>
      <c r="BO202" s="9"/>
      <c r="BP202" s="102">
        <f>SUM(BP199:BP201)</f>
        <v>213444.06</v>
      </c>
      <c r="BQ202" s="9"/>
      <c r="BR202" s="102">
        <f>SUM(BR199:BR201)</f>
        <v>256751</v>
      </c>
      <c r="BS202" s="9"/>
      <c r="BT202" s="102">
        <f>SUM(BT199:BT201)</f>
        <v>0</v>
      </c>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8"/>
      <c r="B203" s="31"/>
      <c r="J203" s="8"/>
      <c r="L203" s="143"/>
      <c r="M203" s="9"/>
      <c r="N203" s="10"/>
      <c r="O203" s="10"/>
      <c r="P203" s="10"/>
      <c r="Q203" s="10"/>
      <c r="R203" s="10"/>
      <c r="S203" s="9"/>
      <c r="T203" s="10"/>
      <c r="U203" s="9"/>
      <c r="V203" s="10"/>
      <c r="W203" s="9"/>
      <c r="X203" s="10"/>
      <c r="Y203" s="9"/>
      <c r="Z203" s="10"/>
      <c r="AA203" s="9"/>
      <c r="AB203" s="10"/>
      <c r="AC203" s="9"/>
      <c r="AD203" s="10"/>
      <c r="AE203" s="9"/>
      <c r="AF203" s="10"/>
      <c r="AG203" s="9"/>
      <c r="AH203" s="10"/>
      <c r="AI203"/>
      <c r="AJ203" s="10"/>
      <c r="AK203"/>
      <c r="AL203" s="10"/>
      <c r="AM203"/>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31" customFormat="1">
      <c r="A204" s="58" t="s">
        <v>251</v>
      </c>
      <c r="J204" s="159"/>
      <c r="L204" s="145" t="s">
        <v>204</v>
      </c>
      <c r="M204" s="10"/>
      <c r="N204" s="10">
        <v>10922239</v>
      </c>
      <c r="O204" s="10"/>
      <c r="P204" s="10">
        <f>10969926-N204</f>
        <v>47687</v>
      </c>
      <c r="Q204" s="10"/>
      <c r="R204" s="9">
        <f>[1]Wilton!$V$38+[1]Wilton!$V$39</f>
        <v>12592782.083461734</v>
      </c>
      <c r="S204" s="10"/>
      <c r="T204" s="10">
        <v>340000</v>
      </c>
      <c r="U204" s="10"/>
      <c r="V204" s="10">
        <v>46410</v>
      </c>
      <c r="W204" s="10"/>
      <c r="X204" s="10">
        <v>139384</v>
      </c>
      <c r="Y204" s="10"/>
      <c r="Z204" s="10">
        <v>227439</v>
      </c>
      <c r="AA204" s="10"/>
      <c r="AB204" s="10">
        <v>231444</v>
      </c>
      <c r="AC204" s="10"/>
      <c r="AD204" s="10">
        <v>419367</v>
      </c>
      <c r="AE204" s="10"/>
      <c r="AF204" s="10">
        <v>378615.01085416664</v>
      </c>
      <c r="AG204" s="10"/>
      <c r="AH204" s="10">
        <v>426069.82412684895</v>
      </c>
      <c r="AI204"/>
      <c r="AJ204" s="10">
        <f>[1]Wilton!$K$38</f>
        <v>463711.37538870639</v>
      </c>
      <c r="AK204"/>
      <c r="AL204" s="10">
        <f>[1]Wilton!$L$38</f>
        <v>505639.68570277008</v>
      </c>
      <c r="AM204"/>
      <c r="AN204" s="10">
        <v>568176</v>
      </c>
      <c r="AO204" s="10"/>
      <c r="AP204" s="10">
        <f>[1]Wilton!$N$38</f>
        <v>663422.29387704656</v>
      </c>
      <c r="AQ204" s="10"/>
      <c r="AR204" s="10">
        <v>0</v>
      </c>
      <c r="AS204" s="10"/>
      <c r="AT204" s="10">
        <v>0</v>
      </c>
      <c r="AU204" s="10"/>
      <c r="AV204" s="10">
        <v>0</v>
      </c>
      <c r="AW204" s="10"/>
      <c r="AX204" s="10">
        <v>0</v>
      </c>
      <c r="AY204" s="10"/>
      <c r="AZ204" s="10">
        <v>0</v>
      </c>
      <c r="BA204" s="10"/>
      <c r="BB204" s="10">
        <v>0</v>
      </c>
      <c r="BC204" s="10"/>
      <c r="BD204" s="10">
        <v>0</v>
      </c>
      <c r="BE204" s="10"/>
      <c r="BF204" s="10">
        <v>0</v>
      </c>
      <c r="BG204" s="10"/>
      <c r="BH204" s="10">
        <v>0</v>
      </c>
      <c r="BI204" s="10"/>
      <c r="BJ204" s="10">
        <v>0</v>
      </c>
      <c r="BK204" s="10"/>
      <c r="BL204" s="10">
        <f>SUM(T204:BK204)</f>
        <v>4409678.1899495386</v>
      </c>
      <c r="BM204" s="10"/>
      <c r="BN204" s="10">
        <v>0</v>
      </c>
      <c r="BO204" s="10"/>
      <c r="BP204" s="6">
        <f>IF(+R204-BL204+BN204&gt;0,R204-BL204+BN204,0)</f>
        <v>8183103.893512195</v>
      </c>
      <c r="BQ204" s="10"/>
      <c r="BR204" s="9">
        <f>+BL204+BP204</f>
        <v>12592782.083461734</v>
      </c>
      <c r="BS204" s="10"/>
      <c r="BT204" s="9">
        <f>+R204-BR204</f>
        <v>0</v>
      </c>
      <c r="BU204" s="10"/>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05" customFormat="1">
      <c r="A206" s="84" t="s">
        <v>250</v>
      </c>
      <c r="B206" s="54"/>
      <c r="J206" s="158"/>
      <c r="L206" s="144"/>
      <c r="M206" s="13"/>
      <c r="N206" s="120"/>
      <c r="O206" s="13"/>
      <c r="P206" s="120"/>
      <c r="Q206" s="13"/>
      <c r="R206" s="120">
        <f>R204+R196+R187+R185+R183+R177+R173+R166+R159+R157+R155+R153+R151+R202+R175</f>
        <v>24756793.083461732</v>
      </c>
      <c r="S206" s="120">
        <f t="shared" ref="S206:BS206" si="35">S204+S196+S187+S185+S183+S177+S173+S166+S159+S157+S155+S153+S151+S202+S175</f>
        <v>0</v>
      </c>
      <c r="T206" s="120">
        <f t="shared" si="35"/>
        <v>340000</v>
      </c>
      <c r="U206" s="120">
        <f t="shared" si="35"/>
        <v>0</v>
      </c>
      <c r="V206" s="120">
        <f t="shared" si="35"/>
        <v>47646</v>
      </c>
      <c r="W206" s="120">
        <f t="shared" si="35"/>
        <v>0</v>
      </c>
      <c r="X206" s="120">
        <f t="shared" si="35"/>
        <v>218493</v>
      </c>
      <c r="Y206" s="120">
        <f t="shared" si="35"/>
        <v>0</v>
      </c>
      <c r="Z206" s="120">
        <f t="shared" si="35"/>
        <v>292259</v>
      </c>
      <c r="AA206" s="120">
        <f t="shared" si="35"/>
        <v>0</v>
      </c>
      <c r="AB206" s="120">
        <f t="shared" si="35"/>
        <v>1722017</v>
      </c>
      <c r="AC206" s="120">
        <f t="shared" si="35"/>
        <v>0</v>
      </c>
      <c r="AD206" s="120">
        <f t="shared" si="35"/>
        <v>540746.83000000007</v>
      </c>
      <c r="AE206" s="120"/>
      <c r="AF206" s="120">
        <f t="shared" si="35"/>
        <v>622375.14085416659</v>
      </c>
      <c r="AG206" s="120"/>
      <c r="AH206" s="120">
        <f>AH204+AH196+AH187+AH185+AH183+AH177+AH173+AH166+AH159+AH157+AH155+AH153+AH151+AH202+AH175</f>
        <v>1381148.8641268488</v>
      </c>
      <c r="AI206"/>
      <c r="AJ206" s="120">
        <f>AJ204+AJ196+AJ187+AJ185+AJ183+AJ177+AJ173+AJ166+AJ159+AJ157+AJ155+AJ153+AJ151+AJ202+AJ175</f>
        <v>515549.77538870636</v>
      </c>
      <c r="AK206"/>
      <c r="AL206" s="120">
        <f t="shared" si="35"/>
        <v>551052.15570277011</v>
      </c>
      <c r="AM206"/>
      <c r="AN206" s="120">
        <f t="shared" si="35"/>
        <v>693677.65</v>
      </c>
      <c r="AO206" s="120">
        <f t="shared" si="35"/>
        <v>0</v>
      </c>
      <c r="AP206" s="120">
        <f t="shared" si="35"/>
        <v>997479.58387704659</v>
      </c>
      <c r="AQ206" s="120">
        <f t="shared" si="35"/>
        <v>0</v>
      </c>
      <c r="AR206" s="120">
        <f t="shared" si="35"/>
        <v>444076.54</v>
      </c>
      <c r="AS206" s="120">
        <f t="shared" si="35"/>
        <v>0</v>
      </c>
      <c r="AT206" s="120">
        <f t="shared" si="35"/>
        <v>0</v>
      </c>
      <c r="AU206" s="120">
        <f t="shared" si="35"/>
        <v>0</v>
      </c>
      <c r="AV206" s="120">
        <f t="shared" si="35"/>
        <v>0</v>
      </c>
      <c r="AW206" s="120">
        <f t="shared" si="35"/>
        <v>0</v>
      </c>
      <c r="AX206" s="120">
        <f t="shared" si="35"/>
        <v>0</v>
      </c>
      <c r="AY206" s="120">
        <f t="shared" si="35"/>
        <v>0</v>
      </c>
      <c r="AZ206" s="120">
        <f t="shared" si="35"/>
        <v>0</v>
      </c>
      <c r="BA206" s="120">
        <f t="shared" si="35"/>
        <v>0</v>
      </c>
      <c r="BB206" s="120">
        <f t="shared" si="35"/>
        <v>0</v>
      </c>
      <c r="BC206" s="120">
        <f t="shared" si="35"/>
        <v>0</v>
      </c>
      <c r="BD206" s="120">
        <f t="shared" si="35"/>
        <v>0</v>
      </c>
      <c r="BE206" s="120">
        <f t="shared" si="35"/>
        <v>0</v>
      </c>
      <c r="BF206" s="120">
        <f t="shared" si="35"/>
        <v>0</v>
      </c>
      <c r="BG206" s="120">
        <f t="shared" si="35"/>
        <v>0</v>
      </c>
      <c r="BH206" s="120">
        <f t="shared" si="35"/>
        <v>0</v>
      </c>
      <c r="BI206" s="120">
        <f t="shared" si="35"/>
        <v>0</v>
      </c>
      <c r="BJ206" s="120">
        <f t="shared" si="35"/>
        <v>0</v>
      </c>
      <c r="BK206" s="120">
        <f t="shared" si="35"/>
        <v>0</v>
      </c>
      <c r="BL206" s="120">
        <f t="shared" si="35"/>
        <v>8366521.5399495391</v>
      </c>
      <c r="BM206" s="120">
        <f t="shared" si="35"/>
        <v>0</v>
      </c>
      <c r="BN206" s="120">
        <f t="shared" si="35"/>
        <v>3428502</v>
      </c>
      <c r="BO206" s="120">
        <f t="shared" si="35"/>
        <v>0</v>
      </c>
      <c r="BP206" s="120">
        <f t="shared" si="35"/>
        <v>20165376.603512194</v>
      </c>
      <c r="BQ206" s="120">
        <f t="shared" si="35"/>
        <v>0</v>
      </c>
      <c r="BR206" s="120">
        <f t="shared" si="35"/>
        <v>28531898.143461734</v>
      </c>
      <c r="BS206" s="120">
        <f t="shared" si="35"/>
        <v>0</v>
      </c>
      <c r="BT206" s="120">
        <f>BT204+BT196+BT187+BT185+BT183+BT177+BT173+BT166+BT159+BT157+BT155+BT153+BT151+BT202</f>
        <v>-3775105.06</v>
      </c>
      <c r="BU206" s="120">
        <f>BU204+BU196+BU187+BU185+BU183+BU177+BU173+BU166+BU159+BU157+BU155+BU153+BU151+BU202</f>
        <v>0</v>
      </c>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192</v>
      </c>
      <c r="B208" s="31"/>
      <c r="J208" s="8"/>
      <c r="L208" s="143" t="s">
        <v>204</v>
      </c>
      <c r="M208" s="9"/>
      <c r="N208" s="9">
        <v>5395729</v>
      </c>
      <c r="O208" s="9"/>
      <c r="P208" s="9">
        <f>5463580+-N208</f>
        <v>67851</v>
      </c>
      <c r="Q208" s="9"/>
      <c r="R208" s="9">
        <v>4408071.75</v>
      </c>
      <c r="S208" s="9"/>
      <c r="T208" s="9"/>
      <c r="U208" s="9"/>
      <c r="V208" s="9"/>
      <c r="W208" s="9"/>
      <c r="X208" s="9"/>
      <c r="Y208" s="9"/>
      <c r="Z208" s="9"/>
      <c r="AA208" s="9"/>
      <c r="AB208" s="9"/>
      <c r="AC208" s="9"/>
      <c r="AD208" s="9"/>
      <c r="AE208" s="9"/>
      <c r="AF208" s="9">
        <v>0</v>
      </c>
      <c r="AG208" s="9"/>
      <c r="AH208" s="9"/>
      <c r="AI208"/>
      <c r="AJ208" s="9"/>
      <c r="AK208"/>
      <c r="AL208" s="9"/>
      <c r="AM208"/>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10">
        <f>SUM(T208:BK208)</f>
        <v>0</v>
      </c>
      <c r="BM208" s="9">
        <v>2030320</v>
      </c>
      <c r="BN208" s="9">
        <v>-4408072</v>
      </c>
      <c r="BO208" s="9">
        <v>2030320</v>
      </c>
      <c r="BP208" s="6">
        <f>IF(+R208-BL208+BN208&gt;0,R208-BL208+BN208,0)</f>
        <v>0</v>
      </c>
      <c r="BQ208" s="9">
        <v>2030320</v>
      </c>
      <c r="BR208" s="9">
        <f>+BL208+BP208</f>
        <v>0</v>
      </c>
      <c r="BS208" s="9">
        <v>2030320</v>
      </c>
      <c r="BT208" s="6">
        <f>+R208-BR208</f>
        <v>4408071.75</v>
      </c>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c r="AJ210" s="10"/>
      <c r="AK210"/>
      <c r="AL210" s="10"/>
      <c r="AM210"/>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170" customFormat="1">
      <c r="A211" s="169" t="s">
        <v>255</v>
      </c>
      <c r="J211" s="171"/>
      <c r="L211" s="172"/>
      <c r="M211" s="173"/>
      <c r="N211" s="173"/>
      <c r="O211" s="173"/>
      <c r="P211" s="173"/>
      <c r="Q211" s="173"/>
      <c r="R211" s="168">
        <f t="shared" ref="R211:AH211" si="36">R33+R133+R123+R142+R206+R208</f>
        <v>242526883.83346173</v>
      </c>
      <c r="S211" s="168">
        <f t="shared" si="36"/>
        <v>0</v>
      </c>
      <c r="T211" s="168">
        <f t="shared" si="36"/>
        <v>7140000</v>
      </c>
      <c r="U211" s="168">
        <f t="shared" si="36"/>
        <v>0</v>
      </c>
      <c r="V211" s="168">
        <f t="shared" si="36"/>
        <v>1297646</v>
      </c>
      <c r="W211" s="168">
        <f t="shared" si="36"/>
        <v>0</v>
      </c>
      <c r="X211" s="168">
        <f t="shared" si="36"/>
        <v>33103293</v>
      </c>
      <c r="Y211" s="168">
        <f t="shared" si="36"/>
        <v>0</v>
      </c>
      <c r="Z211" s="168">
        <f t="shared" si="36"/>
        <v>292259</v>
      </c>
      <c r="AA211" s="168">
        <f t="shared" si="36"/>
        <v>0</v>
      </c>
      <c r="AB211" s="168">
        <f t="shared" si="36"/>
        <v>1722017</v>
      </c>
      <c r="AC211" s="168">
        <f t="shared" si="36"/>
        <v>0</v>
      </c>
      <c r="AD211" s="168">
        <f t="shared" si="36"/>
        <v>18851273.829999998</v>
      </c>
      <c r="AE211" s="168"/>
      <c r="AF211" s="168">
        <f t="shared" si="36"/>
        <v>8237655.1408541668</v>
      </c>
      <c r="AG211" s="168"/>
      <c r="AH211" s="168">
        <f t="shared" si="36"/>
        <v>8871230.9374601822</v>
      </c>
      <c r="AI211"/>
      <c r="AJ211" s="168">
        <f>AJ33+AJ133+AJ123+AJ142+AJ206+AJ208</f>
        <v>6989210.1253887061</v>
      </c>
      <c r="AK211"/>
      <c r="AL211" s="168">
        <f>AL33+AL133+AL123+AL142+AL206+AL208</f>
        <v>7789231.1557027698</v>
      </c>
      <c r="AM211"/>
      <c r="AN211" s="168">
        <f t="shared" ref="AN211:BT211" si="37">AN33+AN133+AN123+AN142+AN206+AN208</f>
        <v>11600775.180000002</v>
      </c>
      <c r="AO211" s="168">
        <f t="shared" si="37"/>
        <v>0</v>
      </c>
      <c r="AP211" s="168">
        <f t="shared" si="37"/>
        <v>17679120.913877048</v>
      </c>
      <c r="AQ211" s="168">
        <f t="shared" si="37"/>
        <v>0</v>
      </c>
      <c r="AR211" s="168">
        <f t="shared" si="37"/>
        <v>13595549.689999999</v>
      </c>
      <c r="AS211" s="168">
        <f t="shared" si="37"/>
        <v>0</v>
      </c>
      <c r="AT211" s="168">
        <f t="shared" si="37"/>
        <v>0</v>
      </c>
      <c r="AU211" s="168">
        <f t="shared" si="37"/>
        <v>0</v>
      </c>
      <c r="AV211" s="168">
        <f t="shared" si="37"/>
        <v>0</v>
      </c>
      <c r="AW211" s="168">
        <f t="shared" si="37"/>
        <v>0</v>
      </c>
      <c r="AX211" s="168">
        <f t="shared" si="37"/>
        <v>0</v>
      </c>
      <c r="AY211" s="168">
        <f t="shared" si="37"/>
        <v>0</v>
      </c>
      <c r="AZ211" s="168">
        <f t="shared" si="37"/>
        <v>0</v>
      </c>
      <c r="BA211" s="168">
        <f t="shared" si="37"/>
        <v>0</v>
      </c>
      <c r="BB211" s="168">
        <f t="shared" si="37"/>
        <v>0</v>
      </c>
      <c r="BC211" s="168">
        <f t="shared" si="37"/>
        <v>0</v>
      </c>
      <c r="BD211" s="168">
        <f t="shared" si="37"/>
        <v>0</v>
      </c>
      <c r="BE211" s="168">
        <f t="shared" si="37"/>
        <v>0</v>
      </c>
      <c r="BF211" s="168">
        <f t="shared" si="37"/>
        <v>0</v>
      </c>
      <c r="BG211" s="168">
        <f t="shared" si="37"/>
        <v>0</v>
      </c>
      <c r="BH211" s="168">
        <f t="shared" si="37"/>
        <v>0</v>
      </c>
      <c r="BI211" s="168">
        <f t="shared" si="37"/>
        <v>0</v>
      </c>
      <c r="BJ211" s="168">
        <f t="shared" si="37"/>
        <v>0</v>
      </c>
      <c r="BK211" s="168">
        <f t="shared" si="37"/>
        <v>0</v>
      </c>
      <c r="BL211" s="168">
        <f t="shared" si="37"/>
        <v>137169261.97328287</v>
      </c>
      <c r="BM211" s="168">
        <f t="shared" si="37"/>
        <v>2030320</v>
      </c>
      <c r="BN211" s="168">
        <f t="shared" si="37"/>
        <v>8594116</v>
      </c>
      <c r="BO211" s="168">
        <f t="shared" si="37"/>
        <v>2030320</v>
      </c>
      <c r="BP211" s="168">
        <f t="shared" si="37"/>
        <v>114298341.17017886</v>
      </c>
      <c r="BQ211" s="168">
        <f t="shared" si="37"/>
        <v>2030320</v>
      </c>
      <c r="BR211" s="168">
        <f t="shared" si="37"/>
        <v>251467603.14346173</v>
      </c>
      <c r="BS211" s="168">
        <f t="shared" si="37"/>
        <v>2030320</v>
      </c>
      <c r="BT211" s="168">
        <f t="shared" si="37"/>
        <v>-8940719.3100000005</v>
      </c>
      <c r="BU211" s="173"/>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253</v>
      </c>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f>BR211/B4</f>
        <v>413598.0314859568</v>
      </c>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c r="AJ213" s="10"/>
      <c r="AK213"/>
      <c r="AL213" s="10"/>
      <c r="AM213"/>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221</v>
      </c>
      <c r="B214" s="31"/>
      <c r="J214" s="8"/>
      <c r="L214" s="143" t="s">
        <v>204</v>
      </c>
      <c r="M214" s="9"/>
      <c r="N214" s="9">
        <v>0</v>
      </c>
      <c r="O214" s="9"/>
      <c r="P214" s="9">
        <f>21557+23365.91</f>
        <v>44922.91</v>
      </c>
      <c r="Q214" s="9"/>
      <c r="R214" s="9">
        <v>-6078</v>
      </c>
      <c r="S214" s="9"/>
      <c r="T214" s="9"/>
      <c r="U214" s="9"/>
      <c r="V214" s="9"/>
      <c r="W214" s="9"/>
      <c r="X214" s="9"/>
      <c r="Y214" s="9"/>
      <c r="Z214" s="9">
        <v>-21556.400000000001</v>
      </c>
      <c r="AA214" s="9"/>
      <c r="AB214" s="9">
        <f>43113+23365.91</f>
        <v>66478.91</v>
      </c>
      <c r="AC214" s="9"/>
      <c r="AD214" s="9">
        <v>-51000</v>
      </c>
      <c r="AE214" s="9"/>
      <c r="AF214" s="9"/>
      <c r="AG214" s="9"/>
      <c r="AH214" s="9"/>
      <c r="AI214"/>
      <c r="AJ214" s="9"/>
      <c r="AK214"/>
      <c r="AL214" s="9"/>
      <c r="AM214"/>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10">
        <f>SUM(T214:BK214)</f>
        <v>-6077.489999999998</v>
      </c>
      <c r="BM214" s="9"/>
      <c r="BN214" s="10">
        <v>0</v>
      </c>
      <c r="BO214" s="10"/>
      <c r="BP214" s="6">
        <f>IF(+R214-BL214+BN214&gt;0,R214-BL214+BN214,0)</f>
        <v>0</v>
      </c>
      <c r="BQ214" s="10"/>
      <c r="BR214" s="9">
        <f>+BL214+BP214</f>
        <v>-6077.489999999998</v>
      </c>
      <c r="BS214" s="10"/>
      <c r="BT214" s="9">
        <v>0</v>
      </c>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t="s">
        <v>374</v>
      </c>
      <c r="B216" s="31"/>
      <c r="J216" s="8"/>
      <c r="L216" s="143"/>
      <c r="M216" s="9"/>
      <c r="N216" s="10"/>
      <c r="O216" s="9"/>
      <c r="P216" s="10"/>
      <c r="Q216" s="9"/>
      <c r="R216" s="10">
        <v>0</v>
      </c>
      <c r="S216" s="9"/>
      <c r="T216" s="10"/>
      <c r="U216" s="9"/>
      <c r="V216" s="10"/>
      <c r="W216" s="9"/>
      <c r="X216" s="10"/>
      <c r="Y216" s="9"/>
      <c r="Z216" s="10"/>
      <c r="AA216" s="9"/>
      <c r="AB216" s="10">
        <v>0</v>
      </c>
      <c r="AC216" s="9"/>
      <c r="AD216" s="10">
        <v>100</v>
      </c>
      <c r="AE216" s="9"/>
      <c r="AF216" s="10"/>
      <c r="AG216" s="9"/>
      <c r="AH216" s="10"/>
      <c r="AI216"/>
      <c r="AJ216" s="10">
        <f>220+59</f>
        <v>279</v>
      </c>
      <c r="AK216"/>
      <c r="AL216" s="10">
        <v>10</v>
      </c>
      <c r="AM216"/>
      <c r="AN216" s="10"/>
      <c r="AO216" s="9"/>
      <c r="AP216" s="10">
        <v>800</v>
      </c>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f>SUM(T216:BK216)</f>
        <v>1189</v>
      </c>
      <c r="BM216" s="9"/>
      <c r="BN216" s="10">
        <v>0</v>
      </c>
      <c r="BO216" s="9"/>
      <c r="BP216" s="6">
        <f>IF(+R216-BL216+BN216&gt;0,R216-BL216+BN216,0)</f>
        <v>0</v>
      </c>
      <c r="BQ216" s="9"/>
      <c r="BR216" s="9">
        <f>+BL216+BP216</f>
        <v>1189</v>
      </c>
      <c r="BS216" s="9"/>
      <c r="BT216" s="10">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8" t="s">
        <v>271</v>
      </c>
      <c r="B218" s="31"/>
      <c r="J218" s="8"/>
      <c r="L218" s="143"/>
      <c r="M218" s="9"/>
      <c r="N218" s="10"/>
      <c r="O218" s="9"/>
      <c r="P218" s="10"/>
      <c r="Q218" s="9"/>
      <c r="R218" s="10">
        <v>-56499</v>
      </c>
      <c r="S218" s="9"/>
      <c r="T218" s="10"/>
      <c r="U218" s="9"/>
      <c r="V218" s="10"/>
      <c r="W218" s="9"/>
      <c r="X218" s="10"/>
      <c r="Y218" s="9"/>
      <c r="Z218" s="10"/>
      <c r="AA218" s="9"/>
      <c r="AB218" s="10">
        <v>-56500</v>
      </c>
      <c r="AC218" s="9"/>
      <c r="AD218" s="10">
        <f>1-35</f>
        <v>-34</v>
      </c>
      <c r="AE218" s="9"/>
      <c r="AF218" s="10">
        <v>-69954</v>
      </c>
      <c r="AG218" s="9"/>
      <c r="AH218" s="10">
        <v>-22011</v>
      </c>
      <c r="AI218"/>
      <c r="AJ218" s="10">
        <f>-861-98</f>
        <v>-959</v>
      </c>
      <c r="AK218"/>
      <c r="AL218" s="10">
        <v>-3</v>
      </c>
      <c r="AM218"/>
      <c r="AN218" s="10">
        <f>52264-47</f>
        <v>52217</v>
      </c>
      <c r="AO218" s="9"/>
      <c r="AP218" s="10">
        <f>-233-52264</f>
        <v>-52497</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-149741</v>
      </c>
      <c r="BM218" s="9"/>
      <c r="BN218" s="10"/>
      <c r="BO218" s="9"/>
      <c r="BP218" s="6">
        <v>0</v>
      </c>
      <c r="BQ218" s="9"/>
      <c r="BR218" s="9">
        <f>+BL218+BP218</f>
        <v>-149741</v>
      </c>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254</v>
      </c>
      <c r="B220" s="31"/>
      <c r="J220" s="8"/>
      <c r="L220" s="143"/>
      <c r="M220" s="9"/>
      <c r="N220" s="10"/>
      <c r="O220" s="9"/>
      <c r="P220" s="10"/>
      <c r="Q220" s="9"/>
      <c r="R220" s="10">
        <f t="shared" ref="R220:BL220" si="38">R211+R214+R216+R218</f>
        <v>242464306.83346173</v>
      </c>
      <c r="S220" s="10">
        <f t="shared" si="38"/>
        <v>0</v>
      </c>
      <c r="T220" s="10">
        <f t="shared" si="38"/>
        <v>7140000</v>
      </c>
      <c r="U220" s="10">
        <f t="shared" si="38"/>
        <v>0</v>
      </c>
      <c r="V220" s="10">
        <f t="shared" si="38"/>
        <v>1297646</v>
      </c>
      <c r="W220" s="10">
        <f t="shared" si="38"/>
        <v>0</v>
      </c>
      <c r="X220" s="10">
        <f t="shared" si="38"/>
        <v>33103293</v>
      </c>
      <c r="Y220" s="10">
        <f t="shared" si="38"/>
        <v>0</v>
      </c>
      <c r="Z220" s="10">
        <f t="shared" si="38"/>
        <v>270702.59999999998</v>
      </c>
      <c r="AA220" s="10">
        <f t="shared" si="38"/>
        <v>0</v>
      </c>
      <c r="AB220" s="10">
        <f t="shared" si="38"/>
        <v>1731995.91</v>
      </c>
      <c r="AC220" s="10">
        <f t="shared" si="38"/>
        <v>0</v>
      </c>
      <c r="AD220" s="10">
        <f t="shared" si="38"/>
        <v>18800339.829999998</v>
      </c>
      <c r="AE220" s="10"/>
      <c r="AF220" s="10">
        <f t="shared" si="38"/>
        <v>8167701.1408541668</v>
      </c>
      <c r="AG220" s="10"/>
      <c r="AH220" s="10">
        <f t="shared" si="38"/>
        <v>8849219.9374601822</v>
      </c>
      <c r="AI220"/>
      <c r="AJ220" s="10">
        <f>AJ211+AJ214+AJ216+AJ218</f>
        <v>6988530.1253887061</v>
      </c>
      <c r="AK220"/>
      <c r="AL220" s="10">
        <f t="shared" si="38"/>
        <v>7789238.1557027698</v>
      </c>
      <c r="AM220"/>
      <c r="AN220" s="10">
        <f t="shared" si="38"/>
        <v>11652992.180000002</v>
      </c>
      <c r="AO220" s="10">
        <f t="shared" si="38"/>
        <v>0</v>
      </c>
      <c r="AP220" s="10">
        <f t="shared" si="38"/>
        <v>17627423.913877048</v>
      </c>
      <c r="AQ220" s="10">
        <f t="shared" si="38"/>
        <v>0</v>
      </c>
      <c r="AR220" s="10">
        <f t="shared" si="38"/>
        <v>13595549.689999999</v>
      </c>
      <c r="AS220" s="10">
        <f t="shared" si="38"/>
        <v>0</v>
      </c>
      <c r="AT220" s="10">
        <f t="shared" si="38"/>
        <v>0</v>
      </c>
      <c r="AU220" s="10">
        <f t="shared" si="38"/>
        <v>0</v>
      </c>
      <c r="AV220" s="10">
        <f t="shared" si="38"/>
        <v>0</v>
      </c>
      <c r="AW220" s="10">
        <f t="shared" si="38"/>
        <v>0</v>
      </c>
      <c r="AX220" s="10">
        <f t="shared" si="38"/>
        <v>0</v>
      </c>
      <c r="AY220" s="10">
        <f t="shared" si="38"/>
        <v>0</v>
      </c>
      <c r="AZ220" s="10">
        <f t="shared" si="38"/>
        <v>0</v>
      </c>
      <c r="BA220" s="10">
        <f t="shared" si="38"/>
        <v>0</v>
      </c>
      <c r="BB220" s="10">
        <f t="shared" si="38"/>
        <v>0</v>
      </c>
      <c r="BC220" s="10">
        <f t="shared" si="38"/>
        <v>0</v>
      </c>
      <c r="BD220" s="10">
        <f t="shared" si="38"/>
        <v>0</v>
      </c>
      <c r="BE220" s="10">
        <f t="shared" si="38"/>
        <v>0</v>
      </c>
      <c r="BF220" s="10">
        <f t="shared" si="38"/>
        <v>0</v>
      </c>
      <c r="BG220" s="10">
        <f t="shared" si="38"/>
        <v>0</v>
      </c>
      <c r="BH220" s="10">
        <f t="shared" si="38"/>
        <v>0</v>
      </c>
      <c r="BI220" s="10">
        <f t="shared" si="38"/>
        <v>0</v>
      </c>
      <c r="BJ220" s="10">
        <f t="shared" si="38"/>
        <v>0</v>
      </c>
      <c r="BK220" s="10">
        <f t="shared" si="38"/>
        <v>0</v>
      </c>
      <c r="BL220" s="10">
        <f t="shared" si="38"/>
        <v>137014632.48328286</v>
      </c>
      <c r="BM220" s="10">
        <f>BM211+BM214+BM216</f>
        <v>2030320</v>
      </c>
      <c r="BN220" s="10">
        <f>BN211+BN214+BN216</f>
        <v>8594116</v>
      </c>
      <c r="BO220" s="10">
        <f>BO211+BO214+BO216</f>
        <v>2030320</v>
      </c>
      <c r="BP220" s="6">
        <f>IF(+R220-BL220+BN220&gt;0,R220-BL220+BN220,0)</f>
        <v>114043790.35017887</v>
      </c>
      <c r="BQ220" s="10">
        <f>BQ211+BQ214+BQ216</f>
        <v>2030320</v>
      </c>
      <c r="BR220" s="10">
        <f>BR211+BR214+BR216+BR218</f>
        <v>251312973.65346172</v>
      </c>
      <c r="BS220" s="10">
        <f>BS211+BS214+BS216</f>
        <v>2030320</v>
      </c>
      <c r="BT220" s="10">
        <f>BT211+BT214+BT216</f>
        <v>-8940719.3100000005</v>
      </c>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39"/>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C222"/>
      <c r="D222"/>
      <c r="E222"/>
      <c r="F222"/>
      <c r="G222"/>
      <c r="H222"/>
      <c r="I222"/>
      <c r="J222" s="49"/>
      <c r="K222"/>
      <c r="L222" s="134"/>
      <c r="M222" s="6"/>
      <c r="O222" s="6"/>
      <c r="Q222" s="6"/>
      <c r="S222" s="6"/>
      <c r="T222" s="6"/>
      <c r="U222" s="6"/>
      <c r="V222" s="6"/>
      <c r="X222" s="6"/>
      <c r="Z222" s="6"/>
      <c r="AB222" s="6"/>
      <c r="AD222" s="6"/>
      <c r="AH222" s="10"/>
      <c r="AI222"/>
      <c r="AJ222" s="10"/>
      <c r="BJ222" s="6"/>
      <c r="BK222" s="6"/>
      <c r="BM222" s="6"/>
      <c r="BN222" s="6"/>
      <c r="BO222" s="6"/>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ht="15.75">
      <c r="A223" s="131" t="s">
        <v>198</v>
      </c>
      <c r="B223" s="132"/>
      <c r="C223" s="119"/>
      <c r="D223" s="119"/>
      <c r="E223" s="119"/>
      <c r="F223" s="119"/>
      <c r="G223" s="119"/>
      <c r="H223" s="119"/>
      <c r="I223" s="119"/>
      <c r="J223" s="161"/>
      <c r="K223" s="119"/>
      <c r="L223" s="148"/>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c r="AJ223" s="133"/>
      <c r="AL223" s="133"/>
      <c r="AN223" s="133"/>
      <c r="AO223" s="133"/>
      <c r="AP223" s="133"/>
      <c r="AQ223" s="133"/>
      <c r="AR223" s="133"/>
      <c r="AS223" s="133"/>
      <c r="AT223" s="133"/>
      <c r="AU223" s="133"/>
      <c r="AV223" s="133"/>
      <c r="AW223" s="133"/>
      <c r="AX223" s="133"/>
      <c r="AY223" s="133"/>
      <c r="AZ223" s="133"/>
      <c r="BA223" s="133"/>
      <c r="BB223" s="133"/>
      <c r="BC223" s="133"/>
      <c r="BD223" s="133"/>
      <c r="BE223" s="133"/>
      <c r="BF223" s="133"/>
      <c r="BG223" s="133"/>
      <c r="BH223" s="133"/>
      <c r="BI223" s="133"/>
      <c r="BJ223" s="133"/>
      <c r="BK223" s="133"/>
      <c r="BL223" s="133"/>
      <c r="BM223" s="133"/>
      <c r="BN223" s="133"/>
      <c r="BO223" s="133"/>
      <c r="BP223" s="133"/>
      <c r="BQ223" s="133"/>
      <c r="BR223" s="13"/>
      <c r="BS223" s="133"/>
      <c r="BT223" s="133"/>
      <c r="BU223" s="13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A224" s="56" t="s">
        <v>32</v>
      </c>
      <c r="C224"/>
      <c r="D224"/>
      <c r="E224"/>
      <c r="F224"/>
      <c r="G224"/>
      <c r="H224"/>
      <c r="I224"/>
      <c r="J224" s="49"/>
      <c r="K224"/>
      <c r="L224" s="134" t="s">
        <v>205</v>
      </c>
      <c r="M224" s="6"/>
      <c r="N224" s="6">
        <v>0</v>
      </c>
      <c r="O224" s="6"/>
      <c r="P224" s="6">
        <v>220000</v>
      </c>
      <c r="Q224" s="6"/>
      <c r="R224" s="9"/>
      <c r="S224" s="6"/>
      <c r="T224" s="22"/>
      <c r="U224" s="6"/>
      <c r="V224" s="22"/>
      <c r="X224" s="22">
        <f>982.5+18746.43</f>
        <v>19728.93</v>
      </c>
      <c r="Z224" s="22">
        <v>0</v>
      </c>
      <c r="AB224" s="22"/>
      <c r="AD224" s="22">
        <v>12698.23</v>
      </c>
      <c r="AF224" s="22"/>
      <c r="AH224" s="22">
        <f>5134.27+591.18</f>
        <v>5725.4500000000007</v>
      </c>
      <c r="AI224"/>
      <c r="AJ224" s="22"/>
      <c r="AL224" s="22">
        <v>591.45000000000005</v>
      </c>
      <c r="AN224" s="22"/>
      <c r="AP224" s="22"/>
      <c r="AR224" s="22"/>
      <c r="AT224" s="22"/>
      <c r="AU224" s="22"/>
      <c r="AV224" s="22"/>
      <c r="AW224" s="22"/>
      <c r="AX224" s="22"/>
      <c r="AY224" s="22"/>
      <c r="AZ224" s="22"/>
      <c r="BA224" s="22"/>
      <c r="BB224" s="22"/>
      <c r="BC224" s="22"/>
      <c r="BD224" s="22"/>
      <c r="BE224" s="22"/>
      <c r="BF224" s="22"/>
      <c r="BG224" s="22"/>
      <c r="BH224" s="22"/>
      <c r="BI224" s="22"/>
      <c r="BJ224" s="22"/>
      <c r="BK224" s="6"/>
      <c r="BL224" s="9">
        <f t="shared" ref="BL224:BL229" si="39">SUM(T224:BK224)</f>
        <v>38744.06</v>
      </c>
      <c r="BM224" s="6"/>
      <c r="BN224" s="22"/>
      <c r="BO224" s="6"/>
      <c r="BP224" s="6">
        <f>IF(+R224-BL224+BN224&gt;0,R224-BL224+BN224,0)</f>
        <v>0</v>
      </c>
      <c r="BR224" s="9">
        <f t="shared" ref="BR224:BR229" si="40">+BP224+BL224</f>
        <v>38744.06</v>
      </c>
      <c r="BT224" s="9">
        <v>0</v>
      </c>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56" t="s">
        <v>33</v>
      </c>
      <c r="C225"/>
      <c r="D225"/>
      <c r="E225"/>
      <c r="F225"/>
      <c r="G225"/>
      <c r="H225"/>
      <c r="I225"/>
      <c r="J225" s="49"/>
      <c r="K225"/>
      <c r="L225" s="134" t="s">
        <v>205</v>
      </c>
      <c r="M225" s="6"/>
      <c r="N225" s="6">
        <v>0</v>
      </c>
      <c r="O225" s="6"/>
      <c r="P225" s="6">
        <v>30000</v>
      </c>
      <c r="Q225" s="6"/>
      <c r="R225" s="9"/>
      <c r="S225" s="6"/>
      <c r="T225" s="22"/>
      <c r="U225" s="6"/>
      <c r="V225" s="22">
        <v>1342.96</v>
      </c>
      <c r="X225" s="22">
        <f>24234.66+4681.29</f>
        <v>28915.95</v>
      </c>
      <c r="Z225" s="22">
        <f>18740.38+287.37+30.79+269.69</f>
        <v>19328.23</v>
      </c>
      <c r="AB225" s="22">
        <v>567.63</v>
      </c>
      <c r="AD225" s="22">
        <f>558.5+6000+11878.22+34085.81+15896.29</f>
        <v>68418.820000000007</v>
      </c>
      <c r="AF225" s="22"/>
      <c r="AH225" s="22"/>
      <c r="AI225"/>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 t="shared" si="39"/>
        <v>118573.59</v>
      </c>
      <c r="BM225" s="6"/>
      <c r="BN225" s="22"/>
      <c r="BO225" s="6"/>
      <c r="BP225" s="6">
        <f>IF(+R225-BL225+BN225&gt;0,R225-BL225+BN225,0)</f>
        <v>0</v>
      </c>
      <c r="BR225" s="9">
        <f t="shared" si="40"/>
        <v>118573.59</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35</v>
      </c>
      <c r="C226"/>
      <c r="D226"/>
      <c r="E226"/>
      <c r="F226"/>
      <c r="G226"/>
      <c r="H226"/>
      <c r="I226"/>
      <c r="J226" s="49"/>
      <c r="K226"/>
      <c r="L226" s="134" t="s">
        <v>205</v>
      </c>
      <c r="M226" s="6"/>
      <c r="N226" s="6">
        <v>0</v>
      </c>
      <c r="O226" s="6"/>
      <c r="P226" s="6">
        <v>35000</v>
      </c>
      <c r="Q226" s="6"/>
      <c r="R226" s="9"/>
      <c r="S226" s="6"/>
      <c r="T226" s="22">
        <v>52133</v>
      </c>
      <c r="U226" s="6"/>
      <c r="V226" s="22"/>
      <c r="X226" s="22"/>
      <c r="Z226" s="22"/>
      <c r="AB226" s="22">
        <v>1331.32</v>
      </c>
      <c r="AD226" s="22"/>
      <c r="AF226" s="22"/>
      <c r="AH226" s="22"/>
      <c r="AI226"/>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 t="shared" si="39"/>
        <v>53464.32</v>
      </c>
      <c r="BM226" s="6"/>
      <c r="BN226" s="22"/>
      <c r="BO226" s="6"/>
      <c r="BP226" s="6">
        <f>IF(+R226-BL226+BN226&gt;0,R226-BL226+BN226,0)</f>
        <v>0</v>
      </c>
      <c r="BR226" s="9">
        <f t="shared" si="40"/>
        <v>53464.32</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21" t="s">
        <v>200</v>
      </c>
      <c r="C227"/>
      <c r="D227"/>
      <c r="E227"/>
      <c r="F227"/>
      <c r="G227"/>
      <c r="H227"/>
      <c r="I227"/>
      <c r="J227" s="49"/>
      <c r="K227"/>
      <c r="L227" s="134" t="s">
        <v>205</v>
      </c>
      <c r="M227" s="6"/>
      <c r="N227" s="6">
        <v>0</v>
      </c>
      <c r="O227" s="6"/>
      <c r="P227" s="6">
        <v>20000</v>
      </c>
      <c r="Q227" s="6"/>
      <c r="R227" s="9"/>
      <c r="S227" s="6"/>
      <c r="T227" s="22">
        <v>87500</v>
      </c>
      <c r="U227" s="6"/>
      <c r="V227" s="22"/>
      <c r="X227" s="22"/>
      <c r="Z227" s="22"/>
      <c r="AB227" s="22"/>
      <c r="AD227" s="22"/>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39"/>
        <v>87500</v>
      </c>
      <c r="BM227" s="6"/>
      <c r="BN227" s="22"/>
      <c r="BO227" s="6"/>
      <c r="BP227" s="6">
        <f>IF(+R227-BL227+BN227&gt;0,R227-BL227+BN227,0)</f>
        <v>0</v>
      </c>
      <c r="BR227" s="9">
        <f t="shared" si="40"/>
        <v>87500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ustomFormat="1">
      <c r="BP228" s="6">
        <f>IF(+R228-BL228+BN228&gt;0,R228-BL228+BN228,0)</f>
        <v>0</v>
      </c>
    </row>
    <row r="229" spans="1:122" s="105" customFormat="1" ht="13.5" thickBot="1">
      <c r="A229" s="128" t="s">
        <v>199</v>
      </c>
      <c r="B229" s="54"/>
      <c r="J229" s="158"/>
      <c r="L229" s="144"/>
      <c r="M229" s="13"/>
      <c r="N229" s="121">
        <f>SUM(N224:N228)</f>
        <v>0</v>
      </c>
      <c r="O229" s="13"/>
      <c r="P229" s="121">
        <f>SUM(P224:P228)</f>
        <v>305000</v>
      </c>
      <c r="Q229" s="13"/>
      <c r="R229" s="121">
        <f>SUM(R224:R228)</f>
        <v>0</v>
      </c>
      <c r="S229" s="13"/>
      <c r="T229" s="121">
        <f>SUM(T224:T228)</f>
        <v>139633</v>
      </c>
      <c r="U229" s="120"/>
      <c r="V229" s="121">
        <f>SUM(V224:V228)</f>
        <v>1342.96</v>
      </c>
      <c r="W229" s="120"/>
      <c r="X229" s="121">
        <f>SUM(X224:X228)</f>
        <v>48644.880000000005</v>
      </c>
      <c r="Y229" s="120"/>
      <c r="Z229" s="121">
        <f>SUM(Z224:Z228)</f>
        <v>19328.23</v>
      </c>
      <c r="AA229" s="121">
        <f>SUM(AA224:AA228)</f>
        <v>0</v>
      </c>
      <c r="AB229" s="121">
        <f>SUM(AB224:AB228)</f>
        <v>1898.9499999999998</v>
      </c>
      <c r="AC229" s="121">
        <f>SUM(AC224:AC228)</f>
        <v>0</v>
      </c>
      <c r="AD229" s="121">
        <f>SUM(AD224:AD228)</f>
        <v>81117.05</v>
      </c>
      <c r="AE229" s="121"/>
      <c r="AF229" s="121">
        <f t="shared" ref="AF229:BK229" si="41">SUM(AF224:AF228)</f>
        <v>0</v>
      </c>
      <c r="AG229" s="121"/>
      <c r="AH229" s="121">
        <f t="shared" si="41"/>
        <v>5725.4500000000007</v>
      </c>
      <c r="AI229" s="121"/>
      <c r="AJ229" s="121">
        <f t="shared" si="41"/>
        <v>0</v>
      </c>
      <c r="AK229"/>
      <c r="AL229" s="121">
        <f t="shared" si="41"/>
        <v>591.45000000000005</v>
      </c>
      <c r="AM229"/>
      <c r="AN229" s="121">
        <f t="shared" si="41"/>
        <v>0</v>
      </c>
      <c r="AO229" s="121">
        <f t="shared" si="41"/>
        <v>0</v>
      </c>
      <c r="AP229" s="121">
        <f t="shared" si="41"/>
        <v>0</v>
      </c>
      <c r="AQ229" s="121">
        <f t="shared" si="41"/>
        <v>0</v>
      </c>
      <c r="AR229" s="121">
        <f t="shared" si="41"/>
        <v>0</v>
      </c>
      <c r="AS229" s="121">
        <f t="shared" si="41"/>
        <v>0</v>
      </c>
      <c r="AT229" s="121">
        <f t="shared" si="41"/>
        <v>0</v>
      </c>
      <c r="AU229" s="121">
        <f t="shared" si="41"/>
        <v>0</v>
      </c>
      <c r="AV229" s="121">
        <f t="shared" si="41"/>
        <v>0</v>
      </c>
      <c r="AW229" s="121">
        <f t="shared" si="41"/>
        <v>0</v>
      </c>
      <c r="AX229" s="121">
        <f t="shared" si="41"/>
        <v>0</v>
      </c>
      <c r="AY229" s="121">
        <f t="shared" si="41"/>
        <v>0</v>
      </c>
      <c r="AZ229" s="121">
        <f t="shared" si="41"/>
        <v>0</v>
      </c>
      <c r="BA229" s="121">
        <f t="shared" si="41"/>
        <v>0</v>
      </c>
      <c r="BB229" s="121">
        <f t="shared" si="41"/>
        <v>0</v>
      </c>
      <c r="BC229" s="121">
        <f t="shared" si="41"/>
        <v>0</v>
      </c>
      <c r="BD229" s="121">
        <f t="shared" si="41"/>
        <v>0</v>
      </c>
      <c r="BE229" s="121">
        <f t="shared" si="41"/>
        <v>0</v>
      </c>
      <c r="BF229" s="121">
        <f t="shared" si="41"/>
        <v>0</v>
      </c>
      <c r="BG229" s="121">
        <f t="shared" si="41"/>
        <v>0</v>
      </c>
      <c r="BH229" s="121">
        <f t="shared" si="41"/>
        <v>0</v>
      </c>
      <c r="BI229" s="121">
        <f t="shared" si="41"/>
        <v>0</v>
      </c>
      <c r="BJ229" s="121">
        <f t="shared" si="41"/>
        <v>0</v>
      </c>
      <c r="BK229" s="121">
        <f t="shared" si="41"/>
        <v>0</v>
      </c>
      <c r="BL229" s="121">
        <f t="shared" si="39"/>
        <v>298281.97000000003</v>
      </c>
      <c r="BM229" s="13"/>
      <c r="BN229" s="121"/>
      <c r="BO229" s="13"/>
      <c r="BP229" s="121">
        <f>SUM(BP223:BP228)</f>
        <v>0</v>
      </c>
      <c r="BQ229" s="13"/>
      <c r="BR229" s="121">
        <f t="shared" si="40"/>
        <v>298281.97000000003</v>
      </c>
      <c r="BS229" s="13"/>
      <c r="BT229" s="121">
        <v>0</v>
      </c>
      <c r="BU229" s="120"/>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5"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R230" s="58"/>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9"/>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22"/>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273</v>
      </c>
      <c r="C234" s="119"/>
      <c r="D234" s="119"/>
      <c r="E234" s="119"/>
      <c r="F234" s="119"/>
      <c r="G234" s="119"/>
      <c r="H234" s="119"/>
      <c r="I234" s="119"/>
      <c r="J234" s="161"/>
      <c r="K234" s="119"/>
      <c r="L234" s="148"/>
      <c r="M234" s="133"/>
      <c r="N234" s="121" t="e">
        <f>#REF!+N231</f>
        <v>#REF!</v>
      </c>
      <c r="O234" s="121"/>
      <c r="P234" s="121" t="e">
        <f>#REF!+P231</f>
        <v>#REF!</v>
      </c>
      <c r="Q234" s="121"/>
      <c r="R234" s="121">
        <f>R220+R229</f>
        <v>242464306.83346173</v>
      </c>
      <c r="S234" s="121">
        <f t="shared" ref="S234:BT234" si="42">S220+S229</f>
        <v>0</v>
      </c>
      <c r="T234" s="121">
        <f t="shared" si="42"/>
        <v>7279633</v>
      </c>
      <c r="U234" s="121">
        <f t="shared" si="42"/>
        <v>0</v>
      </c>
      <c r="V234" s="121">
        <f t="shared" si="42"/>
        <v>1298988.96</v>
      </c>
      <c r="W234" s="121">
        <f t="shared" si="42"/>
        <v>0</v>
      </c>
      <c r="X234" s="121">
        <f t="shared" si="42"/>
        <v>33151937.879999999</v>
      </c>
      <c r="Y234" s="121">
        <f t="shared" si="42"/>
        <v>0</v>
      </c>
      <c r="Z234" s="121">
        <f t="shared" si="42"/>
        <v>290030.82999999996</v>
      </c>
      <c r="AA234" s="121">
        <f t="shared" si="42"/>
        <v>0</v>
      </c>
      <c r="AB234" s="121">
        <f t="shared" si="42"/>
        <v>1733894.8599999999</v>
      </c>
      <c r="AC234" s="121">
        <f t="shared" si="42"/>
        <v>0</v>
      </c>
      <c r="AD234" s="121">
        <f t="shared" si="42"/>
        <v>18881456.879999999</v>
      </c>
      <c r="AE234" s="121"/>
      <c r="AF234" s="121">
        <f t="shared" si="42"/>
        <v>8167701.1408541668</v>
      </c>
      <c r="AG234" s="121"/>
      <c r="AH234" s="121">
        <f t="shared" si="42"/>
        <v>8854945.3874601815</v>
      </c>
      <c r="AI234" s="121"/>
      <c r="AJ234" s="121">
        <f t="shared" si="42"/>
        <v>6988530.1253887061</v>
      </c>
      <c r="AK234"/>
      <c r="AL234" s="121">
        <f t="shared" si="42"/>
        <v>7789829.6057027699</v>
      </c>
      <c r="AM234"/>
      <c r="AN234" s="121">
        <f t="shared" si="42"/>
        <v>11652992.180000002</v>
      </c>
      <c r="AO234" s="121">
        <f t="shared" si="42"/>
        <v>0</v>
      </c>
      <c r="AP234" s="121">
        <f t="shared" si="42"/>
        <v>17627423.913877048</v>
      </c>
      <c r="AQ234" s="121">
        <f t="shared" si="42"/>
        <v>0</v>
      </c>
      <c r="AR234" s="121">
        <f t="shared" si="42"/>
        <v>13595549.689999999</v>
      </c>
      <c r="AS234" s="121">
        <f t="shared" si="42"/>
        <v>0</v>
      </c>
      <c r="AT234" s="121">
        <f t="shared" si="42"/>
        <v>0</v>
      </c>
      <c r="AU234" s="121">
        <f t="shared" si="42"/>
        <v>0</v>
      </c>
      <c r="AV234" s="121">
        <f t="shared" si="42"/>
        <v>0</v>
      </c>
      <c r="AW234" s="121">
        <f t="shared" si="42"/>
        <v>0</v>
      </c>
      <c r="AX234" s="121">
        <f t="shared" si="42"/>
        <v>0</v>
      </c>
      <c r="AY234" s="121">
        <f t="shared" si="42"/>
        <v>0</v>
      </c>
      <c r="AZ234" s="121">
        <f t="shared" si="42"/>
        <v>0</v>
      </c>
      <c r="BA234" s="121">
        <f t="shared" si="42"/>
        <v>0</v>
      </c>
      <c r="BB234" s="121">
        <f t="shared" si="42"/>
        <v>0</v>
      </c>
      <c r="BC234" s="121">
        <f t="shared" si="42"/>
        <v>0</v>
      </c>
      <c r="BD234" s="121">
        <f t="shared" si="42"/>
        <v>0</v>
      </c>
      <c r="BE234" s="121">
        <f t="shared" si="42"/>
        <v>0</v>
      </c>
      <c r="BF234" s="121">
        <f t="shared" si="42"/>
        <v>0</v>
      </c>
      <c r="BG234" s="121">
        <f t="shared" si="42"/>
        <v>0</v>
      </c>
      <c r="BH234" s="121">
        <f t="shared" si="42"/>
        <v>0</v>
      </c>
      <c r="BI234" s="121">
        <f t="shared" si="42"/>
        <v>0</v>
      </c>
      <c r="BJ234" s="121">
        <f t="shared" si="42"/>
        <v>0</v>
      </c>
      <c r="BK234" s="121">
        <f t="shared" si="42"/>
        <v>0</v>
      </c>
      <c r="BL234" s="121">
        <f t="shared" si="42"/>
        <v>137312914.45328286</v>
      </c>
      <c r="BM234" s="121">
        <f t="shared" si="42"/>
        <v>2030320</v>
      </c>
      <c r="BN234" s="121">
        <f t="shared" si="42"/>
        <v>8594116</v>
      </c>
      <c r="BO234" s="121">
        <f t="shared" si="42"/>
        <v>2030320</v>
      </c>
      <c r="BP234" s="121">
        <f t="shared" si="42"/>
        <v>114043790.35017887</v>
      </c>
      <c r="BQ234" s="121">
        <f t="shared" si="42"/>
        <v>2030320</v>
      </c>
      <c r="BR234" s="121">
        <f t="shared" si="42"/>
        <v>251611255.62346172</v>
      </c>
      <c r="BS234" s="121">
        <f t="shared" si="42"/>
        <v>2030320</v>
      </c>
      <c r="BT234" s="121">
        <f t="shared" si="42"/>
        <v>-8940719.3100000005</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ustomFormat="1" ht="13.5" thickTop="1"/>
    <row r="236" spans="1:122">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L256" s="134"/>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sheetData>
  <printOptions horizontalCentered="1"/>
  <pageMargins left="0" right="0" top="0.71" bottom="0.25" header="0" footer="0"/>
  <pageSetup scale="48" fitToWidth="2" fitToHeight="2" orientation="portrait" verticalDpi="300" r:id="rId1"/>
  <headerFooter alignWithMargins="0"/>
  <rowBreaks count="1" manualBreakCount="1">
    <brk id="123"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R205" activePane="bottomRight" state="frozen"/>
      <selection activeCell="BN218" sqref="BN218"/>
      <selection pane="topRight" activeCell="BN218" sqref="BN218"/>
      <selection pane="bottomLeft" activeCell="BN218" sqref="BN218"/>
      <selection pane="bottomRight" activeCell="L224" sqref="L22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- 121499.xls]Summary</v>
      </c>
    </row>
    <row r="3" spans="1:76" s="18" customFormat="1" ht="15.75">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36508.723468402779</v>
      </c>
      <c r="BT3" s="23"/>
      <c r="BV3" s="78" t="str">
        <f>Summary!A5</f>
        <v>Revision # 38</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69"/>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K7" s="82"/>
      <c r="BL7" s="82" t="str">
        <f>+Summary!$O$4</f>
        <v xml:space="preserve"> As of 12/10/1999</v>
      </c>
      <c r="BN7" s="71" t="str">
        <f>+Summary!$O$4</f>
        <v xml:space="preserve"> As of 12/10/1999</v>
      </c>
      <c r="BP7" s="64" t="str">
        <f>+Summary!$O$4</f>
        <v xml:space="preserve"> As of 12/10/1999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f>SUM(AM9:AM15)</f>
        <v>0</v>
      </c>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f>SUM(AM18:AM34)</f>
        <v>0</v>
      </c>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f>+AM35+AM16</f>
        <v>0</v>
      </c>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f>SUM(AM41:AM69)</f>
        <v>0</v>
      </c>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122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0</v>
      </c>
      <c r="BO78" s="6"/>
      <c r="BP78" s="12">
        <v>0</v>
      </c>
      <c r="BQ78" s="6"/>
      <c r="BR78" s="6">
        <f t="shared" si="15"/>
        <v>0</v>
      </c>
      <c r="BS78" s="12"/>
      <c r="BT78" s="6">
        <f t="shared" si="16"/>
        <v>0</v>
      </c>
      <c r="BU78" s="12"/>
      <c r="BV78" s="6">
        <f t="shared" si="17"/>
        <v>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f>SUM(AM73:AM79)</f>
        <v>0</v>
      </c>
      <c r="AN80" s="116">
        <f>SUM(AN73:AN79)</f>
        <v>314205.67</v>
      </c>
      <c r="AO80" s="115"/>
      <c r="AP80" s="116">
        <f>SUM(AP73:AP79)</f>
        <v>0</v>
      </c>
      <c r="AQ80" s="115"/>
      <c r="AR80" s="116">
        <f>SUM(AR73:AR79)</f>
        <v>0</v>
      </c>
      <c r="AS80" s="115"/>
      <c r="AT80" s="116">
        <f>SUM(AT73:AT79)</f>
        <v>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0.33333333331393078</v>
      </c>
      <c r="BO80" s="115"/>
      <c r="BP80" s="116">
        <f>SUM(BP73:BP79)</f>
        <v>0</v>
      </c>
      <c r="BQ80" s="115"/>
      <c r="BR80" s="116">
        <f>SUM(BR73:BR79)</f>
        <v>0</v>
      </c>
      <c r="BS80" s="115"/>
      <c r="BT80" s="116">
        <f>SUM(BT73:BT79)</f>
        <v>0.33333333331393078</v>
      </c>
      <c r="BU80" s="115"/>
      <c r="BV80" s="116">
        <f>SUM(BV73:BV79)</f>
        <v>-0.33333333331393078</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f>SUM(AM83:AM88)</f>
        <v>0</v>
      </c>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f>SUM(AM135:AM137)</f>
        <v>0</v>
      </c>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f>SUM(AM149:AM152)</f>
        <v>0</v>
      </c>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f>SUM(AM156:AM162)</f>
        <v>0</v>
      </c>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f>SUM(AM166:AM169)</f>
        <v>0</v>
      </c>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f>SUM(AM175:AM177)</f>
        <v>0</v>
      </c>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v>0</v>
      </c>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100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13084.789999999999</v>
      </c>
      <c r="BO188" s="12"/>
      <c r="BP188" s="12">
        <v>0</v>
      </c>
      <c r="BQ188" s="12"/>
      <c r="BR188" s="6">
        <f>IF(+R188-BN188+BP188&gt;0,R188-BN188+BP188,0)</f>
        <v>0</v>
      </c>
      <c r="BS188" s="12"/>
      <c r="BT188" s="6">
        <f>+BN188+BR188</f>
        <v>13084.789999999999</v>
      </c>
      <c r="BU188" s="12"/>
      <c r="BV188" s="6">
        <f>+R188-BT188</f>
        <v>-13084.789999999999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f t="shared" si="34"/>
        <v>0</v>
      </c>
      <c r="AH190" s="102">
        <f t="shared" si="34"/>
        <v>65427.53</v>
      </c>
      <c r="AI190" s="102">
        <f t="shared" si="34"/>
        <v>0</v>
      </c>
      <c r="AJ190" s="102">
        <f t="shared" si="34"/>
        <v>43022.42</v>
      </c>
      <c r="AK190" s="102">
        <f t="shared" si="34"/>
        <v>0</v>
      </c>
      <c r="AL190" s="102">
        <f>SUM(AL185:AL189)</f>
        <v>-70757.66</v>
      </c>
      <c r="AM190" s="102">
        <f>SUM(AM185:AM189)</f>
        <v>0</v>
      </c>
      <c r="AN190" s="102">
        <f t="shared" si="34"/>
        <v>0</v>
      </c>
      <c r="AO190" s="102">
        <f t="shared" si="34"/>
        <v>0</v>
      </c>
      <c r="AP190" s="102">
        <f t="shared" si="34"/>
        <v>0</v>
      </c>
      <c r="AQ190" s="102">
        <f t="shared" si="34"/>
        <v>0</v>
      </c>
      <c r="AR190" s="102">
        <f t="shared" si="34"/>
        <v>10697.289999999999</v>
      </c>
      <c r="AS190" s="102">
        <f t="shared" si="34"/>
        <v>0</v>
      </c>
      <c r="AT190" s="102">
        <f t="shared" si="34"/>
        <v>100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220230.54</v>
      </c>
      <c r="BO190" s="102">
        <f t="shared" si="34"/>
        <v>0</v>
      </c>
      <c r="BP190" s="102">
        <f t="shared" si="34"/>
        <v>0</v>
      </c>
      <c r="BQ190" s="102">
        <f t="shared" si="34"/>
        <v>0</v>
      </c>
      <c r="BR190" s="102">
        <f t="shared" si="34"/>
        <v>0</v>
      </c>
      <c r="BS190" s="102">
        <f t="shared" si="34"/>
        <v>0</v>
      </c>
      <c r="BT190" s="102">
        <f>SUM(BT185:BT189)</f>
        <v>220230.54</v>
      </c>
      <c r="BU190" s="102">
        <f t="shared" si="34"/>
        <v>0</v>
      </c>
      <c r="BV190" s="102">
        <f t="shared" si="34"/>
        <v>-220230.54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f>SUM(AM193:AM195)</f>
        <v>0</v>
      </c>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f t="shared" si="35"/>
        <v>0</v>
      </c>
      <c r="AH200" s="120">
        <f t="shared" si="35"/>
        <v>672045.7031699582</v>
      </c>
      <c r="AI200" s="120">
        <f t="shared" si="35"/>
        <v>0</v>
      </c>
      <c r="AJ200" s="120">
        <f t="shared" si="35"/>
        <v>557205.69423018454</v>
      </c>
      <c r="AK200" s="120">
        <f t="shared" si="35"/>
        <v>0</v>
      </c>
      <c r="AL200" s="120">
        <f t="shared" si="35"/>
        <v>-4904623.0323668094</v>
      </c>
      <c r="AM200" s="120">
        <f t="shared" si="35"/>
        <v>0</v>
      </c>
      <c r="AN200" s="120">
        <f t="shared" si="35"/>
        <v>378540.52</v>
      </c>
      <c r="AO200" s="120">
        <f t="shared" si="35"/>
        <v>0</v>
      </c>
      <c r="AP200" s="120">
        <f t="shared" si="35"/>
        <v>323352.19</v>
      </c>
      <c r="AQ200" s="120">
        <f t="shared" si="35"/>
        <v>0</v>
      </c>
      <c r="AR200" s="120">
        <f t="shared" si="35"/>
        <v>16697.29</v>
      </c>
      <c r="AS200" s="120">
        <f t="shared" si="35"/>
        <v>0</v>
      </c>
      <c r="AT200" s="120">
        <f t="shared" si="35"/>
        <v>100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1143684.83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1143685.06</v>
      </c>
      <c r="BU200" s="120">
        <f>BU198+BU190+BU182+BU180+BU178+BU172+BU163+BU153+BU146+BU144+BU142+BU140+BU138+BU196</f>
        <v>0</v>
      </c>
      <c r="BV200" s="120">
        <f>BV198+BV190+BV182+BV180+BV178+BV172+BV163+BV153+BV146+BV144+BV142+BV140+BV138+BV196</f>
        <v>-1143685.06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f t="shared" si="36"/>
        <v>0</v>
      </c>
      <c r="AH205" s="168">
        <f t="shared" si="36"/>
        <v>1386914.0565032915</v>
      </c>
      <c r="AI205" s="168">
        <f t="shared" si="36"/>
        <v>0</v>
      </c>
      <c r="AJ205" s="168">
        <f t="shared" si="36"/>
        <v>2148326.5742301848</v>
      </c>
      <c r="AK205" s="168">
        <f t="shared" si="36"/>
        <v>0</v>
      </c>
      <c r="AL205" s="168">
        <f t="shared" si="36"/>
        <v>-93106786.032366812</v>
      </c>
      <c r="AM205" s="168">
        <f t="shared" si="36"/>
        <v>0</v>
      </c>
      <c r="AN205" s="168">
        <f t="shared" si="36"/>
        <v>692746.19</v>
      </c>
      <c r="AO205" s="168">
        <f t="shared" si="36"/>
        <v>0</v>
      </c>
      <c r="AP205" s="168">
        <f t="shared" si="36"/>
        <v>323352.19</v>
      </c>
      <c r="AQ205" s="168">
        <f t="shared" si="36"/>
        <v>0</v>
      </c>
      <c r="AR205" s="168">
        <f t="shared" si="36"/>
        <v>16697.29</v>
      </c>
      <c r="AS205" s="168">
        <f t="shared" si="36"/>
        <v>0</v>
      </c>
      <c r="AT205" s="168">
        <f t="shared" si="36"/>
        <v>100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1151185.4433333327</v>
      </c>
      <c r="BO205" s="168">
        <f t="shared" si="36"/>
        <v>2030320</v>
      </c>
      <c r="BP205" s="168">
        <f t="shared" si="36"/>
        <v>0</v>
      </c>
      <c r="BQ205" s="168">
        <f t="shared" si="36"/>
        <v>2030320</v>
      </c>
      <c r="BR205" s="168">
        <f t="shared" si="36"/>
        <v>0.62000000059197191</v>
      </c>
      <c r="BS205" s="168">
        <f t="shared" si="36"/>
        <v>2030320</v>
      </c>
      <c r="BT205" s="168">
        <f t="shared" si="36"/>
        <v>1151186.0633333332</v>
      </c>
      <c r="BU205" s="168">
        <f t="shared" si="36"/>
        <v>2030320</v>
      </c>
      <c r="BV205" s="168">
        <f t="shared" si="36"/>
        <v>-1151186.0633333332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340151.19333333324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504</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f t="shared" si="38"/>
        <v>0</v>
      </c>
      <c r="AH216" s="121">
        <f t="shared" si="38"/>
        <v>1364257.0565032915</v>
      </c>
      <c r="AI216" s="121">
        <f t="shared" si="38"/>
        <v>0</v>
      </c>
      <c r="AJ216" s="121">
        <f t="shared" si="38"/>
        <v>2148326.5742301848</v>
      </c>
      <c r="AK216" s="121">
        <f t="shared" si="38"/>
        <v>0</v>
      </c>
      <c r="AL216" s="121">
        <f t="shared" si="38"/>
        <v>-93106786.032366812</v>
      </c>
      <c r="AM216" s="121">
        <f t="shared" si="38"/>
        <v>0</v>
      </c>
      <c r="AN216" s="121">
        <f t="shared" si="38"/>
        <v>548388.18999999994</v>
      </c>
      <c r="AO216" s="121">
        <f t="shared" si="38"/>
        <v>0</v>
      </c>
      <c r="AP216" s="121">
        <f t="shared" si="38"/>
        <v>309531.19</v>
      </c>
      <c r="AQ216" s="121">
        <f t="shared" si="38"/>
        <v>0</v>
      </c>
      <c r="AR216" s="121">
        <f t="shared" si="38"/>
        <v>-82654.709999999992</v>
      </c>
      <c r="AS216" s="121">
        <f t="shared" si="38"/>
        <v>0</v>
      </c>
      <c r="AT216" s="121">
        <f t="shared" si="38"/>
        <v>100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754214.44333333266</v>
      </c>
      <c r="BO216" s="121">
        <f t="shared" ref="BO216:BW216" si="39">BO205+BO208+BO210+BO214</f>
        <v>2030320</v>
      </c>
      <c r="BP216" s="121">
        <f t="shared" si="39"/>
        <v>0</v>
      </c>
      <c r="BQ216" s="121">
        <f t="shared" si="39"/>
        <v>2030320</v>
      </c>
      <c r="BR216" s="121">
        <f t="shared" si="39"/>
        <v>0.62000000059197191</v>
      </c>
      <c r="BS216" s="121">
        <f t="shared" si="39"/>
        <v>2030320</v>
      </c>
      <c r="BT216" s="121">
        <f t="shared" si="39"/>
        <v>754115.06333333324</v>
      </c>
      <c r="BU216" s="121">
        <f t="shared" si="39"/>
        <v>2030320</v>
      </c>
      <c r="BV216" s="121">
        <f t="shared" si="39"/>
        <v>-754115.06333333324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zoomScale="66" zoomScaleNormal="66" workbookViewId="0">
      <pane xSplit="19" ySplit="8" topLeftCell="BN9" activePane="bottomRight" state="frozen"/>
      <selection activeCell="A6" sqref="A6"/>
      <selection pane="topRight" activeCell="A6" sqref="A6"/>
      <selection pane="bottomLeft" activeCell="A6" sqref="A6"/>
      <selection pane="bottomRight" activeCell="J57" sqref="J5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1.140625" style="6" hidden="1" customWidth="1"/>
    <col min="36" max="36" width="16.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- 121499.xls]Summary</v>
      </c>
    </row>
    <row r="3" spans="1:76" s="18" customFormat="1" ht="15.75">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36508.723468402779</v>
      </c>
      <c r="BT3" s="23"/>
      <c r="BV3" s="78" t="str">
        <f>Summary!A5</f>
        <v>Revision # 38</v>
      </c>
    </row>
    <row r="4" spans="1:76" s="18" customFormat="1" ht="15.75">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69"/>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K7" s="82"/>
      <c r="BL7" s="82" t="str">
        <f>+Summary!$O$4</f>
        <v xml:space="preserve"> As of 12/10/1999</v>
      </c>
      <c r="BN7" s="71" t="str">
        <f>+Summary!$O$4</f>
        <v xml:space="preserve"> As of 12/10/1999</v>
      </c>
      <c r="BP7" s="64" t="str">
        <f>+Summary!$O$4</f>
        <v xml:space="preserve"> As of 12/10/1999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SUM(R122:R123)</f>
        <v>9230000</v>
      </c>
      <c r="S124" s="9">
        <f t="shared" ref="S124:BQ124" si="24">SUM(S122:S123)</f>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 t="shared" si="24"/>
        <v>0</v>
      </c>
      <c r="AK124" s="9"/>
      <c r="AL124" s="9">
        <f t="shared" si="24"/>
        <v>0</v>
      </c>
      <c r="AM124" s="9"/>
      <c r="AN124" s="9">
        <f t="shared" si="24"/>
        <v>0</v>
      </c>
      <c r="AO124" s="9"/>
      <c r="AP124" s="9">
        <f t="shared" si="24"/>
        <v>0</v>
      </c>
      <c r="AQ124" s="9"/>
      <c r="AR124" s="9">
        <f t="shared" si="24"/>
        <v>0</v>
      </c>
      <c r="AS124" s="9">
        <f t="shared" si="24"/>
        <v>0</v>
      </c>
      <c r="AT124" s="9">
        <f t="shared" si="24"/>
        <v>0</v>
      </c>
      <c r="AU124" s="9">
        <f t="shared" si="24"/>
        <v>0</v>
      </c>
      <c r="AV124" s="9">
        <f t="shared" si="24"/>
        <v>0</v>
      </c>
      <c r="AW124" s="9">
        <f t="shared" si="24"/>
        <v>0</v>
      </c>
      <c r="AX124" s="9">
        <f t="shared" si="24"/>
        <v>0</v>
      </c>
      <c r="AY124" s="9">
        <f t="shared" si="24"/>
        <v>0</v>
      </c>
      <c r="AZ124" s="9">
        <f t="shared" si="24"/>
        <v>0</v>
      </c>
      <c r="BA124" s="9">
        <f t="shared" si="24"/>
        <v>0</v>
      </c>
      <c r="BB124" s="9">
        <f t="shared" si="24"/>
        <v>0</v>
      </c>
      <c r="BC124" s="9">
        <f t="shared" si="24"/>
        <v>0</v>
      </c>
      <c r="BD124" s="9">
        <f t="shared" si="24"/>
        <v>0</v>
      </c>
      <c r="BE124" s="9">
        <f t="shared" si="24"/>
        <v>0</v>
      </c>
      <c r="BF124" s="9">
        <f t="shared" si="24"/>
        <v>0</v>
      </c>
      <c r="BG124" s="9">
        <f t="shared" si="24"/>
        <v>0</v>
      </c>
      <c r="BH124" s="9">
        <f t="shared" si="24"/>
        <v>0</v>
      </c>
      <c r="BI124" s="9">
        <f t="shared" si="24"/>
        <v>0</v>
      </c>
      <c r="BJ124" s="9">
        <f t="shared" si="24"/>
        <v>0</v>
      </c>
      <c r="BK124" s="9">
        <f t="shared" si="24"/>
        <v>0</v>
      </c>
      <c r="BL124" s="9">
        <f t="shared" si="24"/>
        <v>0</v>
      </c>
      <c r="BM124" s="9">
        <f t="shared" si="24"/>
        <v>0</v>
      </c>
      <c r="BN124" s="9">
        <f t="shared" si="24"/>
        <v>0</v>
      </c>
      <c r="BO124" s="9">
        <f t="shared" si="24"/>
        <v>0</v>
      </c>
      <c r="BP124" s="9">
        <f t="shared" si="24"/>
        <v>2829700</v>
      </c>
      <c r="BQ124" s="9">
        <f t="shared" si="24"/>
        <v>0</v>
      </c>
      <c r="BR124" s="9">
        <f>SUM(BR122:BR123)</f>
        <v>12059700</v>
      </c>
      <c r="BS124" s="9">
        <f>SUM(BS122:BS123)</f>
        <v>0</v>
      </c>
      <c r="BT124" s="9">
        <f>SUM(BT122:BT123)</f>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R124+R119+R87+R59+R126</f>
        <v>41741400</v>
      </c>
      <c r="S128" s="247">
        <f t="shared" ref="S128:BQ128" si="25">S124+S119+S87+S59+S126</f>
        <v>0</v>
      </c>
      <c r="T128" s="247">
        <f t="shared" si="25"/>
        <v>0</v>
      </c>
      <c r="U128" s="247">
        <f t="shared" si="25"/>
        <v>0</v>
      </c>
      <c r="V128" s="247">
        <f t="shared" si="25"/>
        <v>0</v>
      </c>
      <c r="W128" s="247">
        <f t="shared" si="25"/>
        <v>0</v>
      </c>
      <c r="X128" s="247">
        <f t="shared" si="25"/>
        <v>0</v>
      </c>
      <c r="Y128" s="247">
        <f t="shared" si="25"/>
        <v>0</v>
      </c>
      <c r="Z128" s="247">
        <f t="shared" si="25"/>
        <v>0</v>
      </c>
      <c r="AA128" s="247">
        <f t="shared" si="25"/>
        <v>0</v>
      </c>
      <c r="AB128" s="247">
        <f t="shared" si="25"/>
        <v>0</v>
      </c>
      <c r="AC128" s="247">
        <f t="shared" si="25"/>
        <v>0</v>
      </c>
      <c r="AD128" s="247">
        <f t="shared" si="25"/>
        <v>0</v>
      </c>
      <c r="AE128" s="247">
        <f t="shared" si="25"/>
        <v>0</v>
      </c>
      <c r="AF128" s="247">
        <f t="shared" si="25"/>
        <v>0</v>
      </c>
      <c r="AG128" s="247">
        <f t="shared" si="25"/>
        <v>0</v>
      </c>
      <c r="AH128" s="247">
        <f t="shared" si="25"/>
        <v>0</v>
      </c>
      <c r="AI128" s="247"/>
      <c r="AJ128" s="247">
        <f t="shared" si="25"/>
        <v>0</v>
      </c>
      <c r="AK128" s="247"/>
      <c r="AL128" s="247">
        <f t="shared" si="25"/>
        <v>0</v>
      </c>
      <c r="AM128" s="247"/>
      <c r="AN128" s="247">
        <f t="shared" si="25"/>
        <v>0</v>
      </c>
      <c r="AO128" s="247"/>
      <c r="AP128" s="247">
        <f t="shared" si="25"/>
        <v>0</v>
      </c>
      <c r="AQ128" s="247"/>
      <c r="AR128" s="247">
        <f t="shared" si="25"/>
        <v>6054031.5599999996</v>
      </c>
      <c r="AS128" s="247">
        <f t="shared" si="25"/>
        <v>0</v>
      </c>
      <c r="AT128" s="247">
        <f t="shared" si="25"/>
        <v>0</v>
      </c>
      <c r="AU128" s="247">
        <f t="shared" si="25"/>
        <v>0</v>
      </c>
      <c r="AV128" s="247">
        <f t="shared" si="25"/>
        <v>0</v>
      </c>
      <c r="AW128" s="247">
        <f t="shared" si="25"/>
        <v>0</v>
      </c>
      <c r="AX128" s="247">
        <f t="shared" si="25"/>
        <v>0</v>
      </c>
      <c r="AY128" s="247">
        <f t="shared" si="25"/>
        <v>0</v>
      </c>
      <c r="AZ128" s="247">
        <f t="shared" si="25"/>
        <v>0</v>
      </c>
      <c r="BA128" s="247">
        <f t="shared" si="25"/>
        <v>0</v>
      </c>
      <c r="BB128" s="247">
        <f t="shared" si="25"/>
        <v>0</v>
      </c>
      <c r="BC128" s="247">
        <f t="shared" si="25"/>
        <v>0</v>
      </c>
      <c r="BD128" s="247">
        <f t="shared" si="25"/>
        <v>0</v>
      </c>
      <c r="BE128" s="247">
        <f t="shared" si="25"/>
        <v>0</v>
      </c>
      <c r="BF128" s="247">
        <f t="shared" si="25"/>
        <v>0</v>
      </c>
      <c r="BG128" s="247">
        <f t="shared" si="25"/>
        <v>0</v>
      </c>
      <c r="BH128" s="247">
        <f t="shared" si="25"/>
        <v>0</v>
      </c>
      <c r="BI128" s="247">
        <f t="shared" si="25"/>
        <v>0</v>
      </c>
      <c r="BJ128" s="247">
        <f t="shared" si="25"/>
        <v>0</v>
      </c>
      <c r="BK128" s="247">
        <f t="shared" si="25"/>
        <v>0</v>
      </c>
      <c r="BL128" s="247">
        <f t="shared" si="25"/>
        <v>0</v>
      </c>
      <c r="BM128" s="247">
        <f t="shared" si="25"/>
        <v>0</v>
      </c>
      <c r="BN128" s="247">
        <f t="shared" si="25"/>
        <v>6054031.5599999996</v>
      </c>
      <c r="BO128" s="247">
        <f t="shared" si="25"/>
        <v>0</v>
      </c>
      <c r="BP128" s="247">
        <f t="shared" si="25"/>
        <v>2829700</v>
      </c>
      <c r="BQ128" s="247">
        <f t="shared" si="25"/>
        <v>0</v>
      </c>
      <c r="BR128" s="247">
        <f>BR124+BR119+BR87+BR59+BR126</f>
        <v>38517068</v>
      </c>
      <c r="BS128" s="247">
        <f>BS124+BS119+BS87+BS59+BS126</f>
        <v>0</v>
      </c>
      <c r="BT128" s="247">
        <f>BT124+BT119+BT87+BT59+BT126</f>
        <v>44571099.560000002</v>
      </c>
      <c r="BU128" s="247">
        <f>BU124+BU119+BU87+BU59+BU126</f>
        <v>0</v>
      </c>
      <c r="BV128" s="247">
        <f>BV124+BV119+BV87+BV59+BV126</f>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0</v>
      </c>
      <c r="AU131" s="22"/>
      <c r="AV131" s="6">
        <v>0</v>
      </c>
      <c r="AX131" s="6">
        <v>0</v>
      </c>
      <c r="AZ131" s="6">
        <v>0</v>
      </c>
      <c r="BB131" s="6">
        <v>0</v>
      </c>
      <c r="BD131" s="6">
        <v>0</v>
      </c>
      <c r="BF131" s="6">
        <v>0</v>
      </c>
      <c r="BH131" s="6">
        <v>0</v>
      </c>
      <c r="BJ131" s="6">
        <v>0</v>
      </c>
      <c r="BL131" s="6">
        <v>0</v>
      </c>
      <c r="BM131" s="6"/>
      <c r="BN131" s="6">
        <f t="shared" ref="BN131:BN136" si="26">SUM(T131:BM131)</f>
        <v>387416.67</v>
      </c>
      <c r="BO131" s="6"/>
      <c r="BP131" s="6">
        <v>0</v>
      </c>
      <c r="BQ131" s="6"/>
      <c r="BR131" s="6">
        <f t="shared" ref="BR131:BR137" si="27">IF(+R131-BN131+BP131&gt;0,R131-BN131+BP131,0)</f>
        <v>542383.33000000007</v>
      </c>
      <c r="BT131" s="6">
        <f t="shared" ref="BT131:BT136" si="28">+BN131+BR131</f>
        <v>929800</v>
      </c>
      <c r="BV131" s="6">
        <f t="shared" ref="BV131:BV136" si="29">+R131-BT131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0</v>
      </c>
      <c r="AU132" s="22"/>
      <c r="AV132" s="6">
        <v>0</v>
      </c>
      <c r="AX132" s="6">
        <v>0</v>
      </c>
      <c r="AZ132" s="6">
        <v>0</v>
      </c>
      <c r="BB132" s="6">
        <v>0</v>
      </c>
      <c r="BD132" s="6">
        <v>0</v>
      </c>
      <c r="BF132" s="6">
        <v>0</v>
      </c>
      <c r="BH132" s="6">
        <v>0</v>
      </c>
      <c r="BJ132" s="6">
        <v>0</v>
      </c>
      <c r="BL132" s="6">
        <v>0</v>
      </c>
      <c r="BM132" s="6"/>
      <c r="BN132" s="6">
        <f t="shared" si="26"/>
        <v>1183616.6599999999</v>
      </c>
      <c r="BO132" s="6"/>
      <c r="BP132" s="6">
        <v>0</v>
      </c>
      <c r="BQ132" s="6"/>
      <c r="BR132" s="6">
        <f t="shared" si="27"/>
        <v>1657083.34</v>
      </c>
      <c r="BT132" s="6">
        <f t="shared" si="28"/>
        <v>2840700</v>
      </c>
      <c r="BV132" s="6">
        <f t="shared" si="29"/>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6"/>
        <v>0</v>
      </c>
      <c r="BO133" s="6"/>
      <c r="BP133" s="6">
        <v>0</v>
      </c>
      <c r="BQ133" s="6"/>
      <c r="BR133" s="6">
        <f t="shared" si="27"/>
        <v>3066700</v>
      </c>
      <c r="BT133" s="6">
        <f t="shared" si="28"/>
        <v>3066700</v>
      </c>
      <c r="BV133" s="6">
        <f t="shared" si="29"/>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6"/>
        <v>0</v>
      </c>
      <c r="BO134" s="6"/>
      <c r="BP134" s="12">
        <v>0</v>
      </c>
      <c r="BQ134" s="6"/>
      <c r="BR134" s="6">
        <f t="shared" si="27"/>
        <v>0</v>
      </c>
      <c r="BS134" s="12"/>
      <c r="BT134" s="6">
        <f t="shared" si="28"/>
        <v>0</v>
      </c>
      <c r="BU134" s="12"/>
      <c r="BV134" s="6">
        <f t="shared" si="29"/>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6"/>
        <v>0</v>
      </c>
      <c r="BO135" s="12"/>
      <c r="BP135" s="12">
        <v>0</v>
      </c>
      <c r="BQ135" s="12"/>
      <c r="BR135" s="6">
        <f t="shared" si="27"/>
        <v>0</v>
      </c>
      <c r="BS135" s="12"/>
      <c r="BT135" s="6">
        <f t="shared" si="28"/>
        <v>0</v>
      </c>
      <c r="BU135" s="12"/>
      <c r="BV135" s="6">
        <f t="shared" si="29"/>
        <v>0</v>
      </c>
      <c r="BW135" s="12"/>
    </row>
    <row r="136" spans="1:75">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6"/>
        <v>0</v>
      </c>
      <c r="BO136" s="6"/>
      <c r="BP136" s="12">
        <v>0</v>
      </c>
      <c r="BQ136" s="6"/>
      <c r="BR136" s="6">
        <f t="shared" si="27"/>
        <v>0</v>
      </c>
      <c r="BS136" s="12"/>
      <c r="BT136" s="6">
        <f t="shared" si="28"/>
        <v>0</v>
      </c>
      <c r="BU136" s="12"/>
      <c r="BV136" s="6">
        <f t="shared" si="29"/>
        <v>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7"/>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0</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1571033.3299999998</v>
      </c>
      <c r="BO138" s="115"/>
      <c r="BP138" s="116">
        <f>SUM(BP131:BP137)</f>
        <v>0</v>
      </c>
      <c r="BQ138" s="115"/>
      <c r="BR138" s="116">
        <f>SUM(BR131:BR137)</f>
        <v>5266166.67</v>
      </c>
      <c r="BS138" s="115"/>
      <c r="BT138" s="116">
        <f>SUM(BT131:BT137)</f>
        <v>6837200</v>
      </c>
      <c r="BU138" s="115"/>
      <c r="BV138" s="116">
        <f>SUM(BV131:BV137)</f>
        <v>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0">+N147+P147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1">SUM(T147:BM147)</f>
        <v>0</v>
      </c>
      <c r="BO147" s="22"/>
      <c r="BP147" s="22">
        <v>0</v>
      </c>
      <c r="BQ147" s="22"/>
      <c r="BR147" s="22">
        <f t="shared" ref="BR147:BR156" si="32">+R147-BN147+BP147</f>
        <v>0</v>
      </c>
      <c r="BS147" s="22"/>
      <c r="BT147" s="6">
        <f t="shared" ref="BT147:BT156" si="33">+BN147+BR147</f>
        <v>0</v>
      </c>
      <c r="BU147" s="22"/>
      <c r="BV147" s="6">
        <f t="shared" ref="BV147:BV156" si="34">+R147-BT147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0"/>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1"/>
        <v>0</v>
      </c>
      <c r="BO148" s="22"/>
      <c r="BP148" s="22">
        <v>0</v>
      </c>
      <c r="BQ148" s="22"/>
      <c r="BR148" s="22">
        <f t="shared" si="32"/>
        <v>0</v>
      </c>
      <c r="BS148" s="22"/>
      <c r="BT148" s="6">
        <f t="shared" si="33"/>
        <v>0</v>
      </c>
      <c r="BU148" s="22"/>
      <c r="BV148" s="6">
        <f t="shared" si="34"/>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0"/>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1"/>
        <v>0</v>
      </c>
      <c r="BO149" s="22"/>
      <c r="BP149" s="22">
        <v>0</v>
      </c>
      <c r="BQ149" s="22"/>
      <c r="BR149" s="22">
        <f t="shared" si="32"/>
        <v>0</v>
      </c>
      <c r="BS149" s="22"/>
      <c r="BT149" s="6">
        <f t="shared" si="33"/>
        <v>0</v>
      </c>
      <c r="BU149" s="22"/>
      <c r="BV149" s="6">
        <f t="shared" si="34"/>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0"/>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1"/>
        <v>0</v>
      </c>
      <c r="BO150" s="22"/>
      <c r="BP150" s="22">
        <v>0</v>
      </c>
      <c r="BQ150" s="22"/>
      <c r="BR150" s="22">
        <f t="shared" si="32"/>
        <v>0</v>
      </c>
      <c r="BS150" s="22"/>
      <c r="BT150" s="6">
        <f t="shared" si="33"/>
        <v>0</v>
      </c>
      <c r="BU150" s="22"/>
      <c r="BV150" s="6">
        <f t="shared" si="34"/>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0"/>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1"/>
        <v>0</v>
      </c>
      <c r="BO151" s="22"/>
      <c r="BP151" s="22">
        <v>0</v>
      </c>
      <c r="BQ151" s="22"/>
      <c r="BR151" s="22">
        <f t="shared" si="32"/>
        <v>0</v>
      </c>
      <c r="BS151" s="22"/>
      <c r="BT151" s="6">
        <f t="shared" si="33"/>
        <v>0</v>
      </c>
      <c r="BU151" s="22"/>
      <c r="BV151" s="6">
        <f t="shared" si="34"/>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0"/>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1"/>
        <v>0</v>
      </c>
      <c r="BO152" s="22"/>
      <c r="BP152" s="22">
        <v>0</v>
      </c>
      <c r="BQ152" s="22"/>
      <c r="BR152" s="22">
        <f t="shared" si="32"/>
        <v>0</v>
      </c>
      <c r="BS152" s="22"/>
      <c r="BT152" s="6">
        <f t="shared" si="33"/>
        <v>0</v>
      </c>
      <c r="BU152" s="22"/>
      <c r="BV152" s="6">
        <f t="shared" si="34"/>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0"/>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1"/>
        <v>0</v>
      </c>
      <c r="BO153" s="22"/>
      <c r="BP153" s="22">
        <v>0</v>
      </c>
      <c r="BQ153" s="22"/>
      <c r="BR153" s="22">
        <f t="shared" si="32"/>
        <v>0</v>
      </c>
      <c r="BS153" s="22"/>
      <c r="BT153" s="6">
        <f t="shared" si="33"/>
        <v>0</v>
      </c>
      <c r="BU153" s="22"/>
      <c r="BV153" s="6">
        <f t="shared" si="34"/>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0"/>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1"/>
        <v>0</v>
      </c>
      <c r="BO154" s="22"/>
      <c r="BP154" s="22">
        <v>0</v>
      </c>
      <c r="BQ154" s="22"/>
      <c r="BR154" s="22">
        <f t="shared" si="32"/>
        <v>0</v>
      </c>
      <c r="BS154" s="22"/>
      <c r="BT154" s="6">
        <f t="shared" si="33"/>
        <v>0</v>
      </c>
      <c r="BU154" s="22"/>
      <c r="BV154" s="6">
        <f t="shared" si="34"/>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0"/>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1"/>
        <v>0</v>
      </c>
      <c r="BO155" s="80"/>
      <c r="BP155" s="80">
        <v>0</v>
      </c>
      <c r="BQ155" s="80"/>
      <c r="BR155" s="80">
        <f t="shared" si="32"/>
        <v>0</v>
      </c>
      <c r="BS155" s="80"/>
      <c r="BT155" s="6">
        <f t="shared" si="33"/>
        <v>0</v>
      </c>
      <c r="BU155" s="80"/>
      <c r="BV155" s="6">
        <f t="shared" si="34"/>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0"/>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1"/>
        <v>0</v>
      </c>
      <c r="BO156" s="80"/>
      <c r="BP156" s="80">
        <v>0</v>
      </c>
      <c r="BQ156" s="80"/>
      <c r="BR156" s="80">
        <f t="shared" si="32"/>
        <v>0</v>
      </c>
      <c r="BS156" s="80"/>
      <c r="BT156" s="6">
        <f t="shared" si="33"/>
        <v>0</v>
      </c>
      <c r="BU156" s="80"/>
      <c r="BV156" s="6">
        <f t="shared" si="34"/>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5">SUM(T183:BM183)</f>
        <v>69419</v>
      </c>
      <c r="BO183" s="6"/>
      <c r="BP183" s="230">
        <v>0</v>
      </c>
      <c r="BQ183" s="6"/>
      <c r="BR183" s="6">
        <f t="shared" ref="BR183:BR189" si="36">IF(+R183-BN183+BP183&gt;0,R183-BN183+BP183,0)</f>
        <v>0</v>
      </c>
      <c r="BT183" s="6">
        <f t="shared" ref="BT183:BT188" si="37">+BN183+BR183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5"/>
        <v>0</v>
      </c>
      <c r="BO184" s="6"/>
      <c r="BP184" s="230">
        <v>0</v>
      </c>
      <c r="BQ184" s="6"/>
      <c r="BR184" s="6">
        <f t="shared" si="36"/>
        <v>0</v>
      </c>
      <c r="BT184" s="6">
        <f t="shared" si="37"/>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5"/>
        <v>0</v>
      </c>
      <c r="BO185" s="6"/>
      <c r="BP185" s="230">
        <v>0</v>
      </c>
      <c r="BQ185" s="6"/>
      <c r="BR185" s="6">
        <f t="shared" si="36"/>
        <v>0</v>
      </c>
      <c r="BT185" s="6">
        <f t="shared" si="37"/>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5"/>
        <v>0</v>
      </c>
      <c r="BO186" s="6"/>
      <c r="BP186" s="230">
        <v>0</v>
      </c>
      <c r="BQ186" s="6"/>
      <c r="BR186" s="6">
        <f t="shared" si="36"/>
        <v>0</v>
      </c>
      <c r="BT186" s="6">
        <f t="shared" si="37"/>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5"/>
        <v>0</v>
      </c>
      <c r="BO187" s="6"/>
      <c r="BP187" s="230">
        <v>0</v>
      </c>
      <c r="BQ187" s="6"/>
      <c r="BR187" s="6">
        <f t="shared" si="36"/>
        <v>0</v>
      </c>
      <c r="BT187" s="6">
        <f t="shared" si="37"/>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5"/>
        <v>455427.72</v>
      </c>
      <c r="BO188" s="6"/>
      <c r="BP188" s="230">
        <v>0</v>
      </c>
      <c r="BQ188" s="6"/>
      <c r="BR188" s="6">
        <f t="shared" si="36"/>
        <v>15153.280000000028</v>
      </c>
      <c r="BT188" s="6">
        <f t="shared" si="37"/>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6"/>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0</v>
      </c>
      <c r="AV193" s="6">
        <v>0</v>
      </c>
      <c r="AX193" s="6">
        <v>0</v>
      </c>
      <c r="AZ193" s="6">
        <v>0</v>
      </c>
      <c r="BB193" s="6">
        <v>0</v>
      </c>
      <c r="BD193" s="6">
        <v>0</v>
      </c>
      <c r="BF193" s="6">
        <v>0</v>
      </c>
      <c r="BH193" s="6">
        <v>0</v>
      </c>
      <c r="BJ193" s="6">
        <v>0</v>
      </c>
      <c r="BL193" s="6">
        <v>0</v>
      </c>
      <c r="BM193" s="6"/>
      <c r="BN193" s="6">
        <f>SUM(T193:BM193)</f>
        <v>7500</v>
      </c>
      <c r="BO193" s="6"/>
      <c r="BP193" s="6">
        <v>0</v>
      </c>
      <c r="BQ193" s="6"/>
      <c r="BR193" s="6">
        <f>IF(+R193-BN193+BP193&gt;0,R193-BN193+BP193,0)</f>
        <v>52500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0</v>
      </c>
      <c r="BQ195" s="6"/>
      <c r="BR195" s="6">
        <f>IF(+R195-BN195+BP195&gt;0,R195-BN195+BP195,0)</f>
        <v>2094482.13</v>
      </c>
      <c r="BT195" s="6">
        <f>+BN195+BR195</f>
        <v>2105000</v>
      </c>
      <c r="BV195" s="6">
        <f>+R195-BT195</f>
        <v>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18017.870000000003</v>
      </c>
      <c r="BO197" s="9"/>
      <c r="BP197" s="102">
        <f>SUM(BP193:BP196)</f>
        <v>0</v>
      </c>
      <c r="BQ197" s="9"/>
      <c r="BR197" s="102">
        <f>SUM(BR193:BR196)</f>
        <v>2181982.13</v>
      </c>
      <c r="BS197" s="9"/>
      <c r="BT197" s="102">
        <f>SUM(BT193:BT196)</f>
        <v>2200000</v>
      </c>
      <c r="BU197" s="9"/>
      <c r="BV197" s="102">
        <f>SUM(BV193:BV196)</f>
        <v>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38">SUM(T212:BM212)</f>
        <v>13179.81</v>
      </c>
      <c r="BO212" s="12"/>
      <c r="BP212" s="12">
        <v>0</v>
      </c>
      <c r="BQ212" s="12"/>
      <c r="BR212" s="6">
        <f t="shared" ref="BR212:BR217" si="39">IF(+R212-BN212+BP212&gt;0,R212-BN212+BP212,0)</f>
        <v>86820.19</v>
      </c>
      <c r="BS212" s="12"/>
      <c r="BT212" s="6">
        <f t="shared" ref="BT212:BT217" si="40">+BN212+BR212</f>
        <v>100000</v>
      </c>
      <c r="BU212" s="12"/>
      <c r="BV212" s="6">
        <f t="shared" ref="BV212:BV217" si="41">+R212-BT212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v>6751.99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38"/>
        <v>93940.82</v>
      </c>
      <c r="BO213" s="12"/>
      <c r="BP213" s="12">
        <v>0</v>
      </c>
      <c r="BQ213" s="12"/>
      <c r="BR213" s="6">
        <f t="shared" si="39"/>
        <v>56059.179999999993</v>
      </c>
      <c r="BS213" s="12"/>
      <c r="BT213" s="6">
        <f t="shared" si="40"/>
        <v>150000</v>
      </c>
      <c r="BU213" s="12"/>
      <c r="BV213" s="6">
        <f t="shared" si="41"/>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38"/>
        <v>17043.53</v>
      </c>
      <c r="BO214" s="12"/>
      <c r="BP214" s="12">
        <v>0</v>
      </c>
      <c r="BQ214" s="12"/>
      <c r="BR214" s="6">
        <f t="shared" si="39"/>
        <v>7191.4700000000012</v>
      </c>
      <c r="BS214" s="12"/>
      <c r="BT214" s="6">
        <f t="shared" si="40"/>
        <v>24235</v>
      </c>
      <c r="BU214" s="12"/>
      <c r="BV214" s="6">
        <f t="shared" si="41"/>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v>25566.560000000001</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38"/>
        <v>64883.850000000006</v>
      </c>
      <c r="BO215" s="12"/>
      <c r="BP215" s="12">
        <v>0</v>
      </c>
      <c r="BQ215" s="12"/>
      <c r="BR215" s="6">
        <f t="shared" si="39"/>
        <v>60881.149999999994</v>
      </c>
      <c r="BS215" s="12"/>
      <c r="BT215" s="6">
        <f t="shared" si="40"/>
        <v>125765</v>
      </c>
      <c r="BU215" s="12"/>
      <c r="BV215" s="6">
        <f t="shared" si="41"/>
        <v>0</v>
      </c>
      <c r="BW215" s="12"/>
    </row>
    <row r="216" spans="1:124" s="11" customFormat="1">
      <c r="A216" s="17"/>
      <c r="B216" s="11" t="s">
        <v>510</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38"/>
        <v>191012.90000000002</v>
      </c>
      <c r="BO216" s="12"/>
      <c r="BP216" s="12"/>
      <c r="BQ216" s="12"/>
      <c r="BR216" s="6">
        <f t="shared" si="39"/>
        <v>0</v>
      </c>
      <c r="BS216" s="12"/>
      <c r="BT216" s="6">
        <f t="shared" si="40"/>
        <v>191012.90000000002</v>
      </c>
      <c r="BU216" s="12"/>
      <c r="BV216" s="6">
        <f t="shared" si="41"/>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38"/>
        <v>32203.279999999999</v>
      </c>
      <c r="BO217" s="12"/>
      <c r="BP217" s="12">
        <v>0</v>
      </c>
      <c r="BQ217" s="12"/>
      <c r="BR217" s="6">
        <f t="shared" si="39"/>
        <v>0</v>
      </c>
      <c r="BS217" s="12"/>
      <c r="BT217" s="6">
        <f t="shared" si="40"/>
        <v>32203.279999999999</v>
      </c>
      <c r="BU217" s="12"/>
      <c r="BV217" s="6">
        <f t="shared" si="41"/>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2">SUM(R212:R217)</f>
        <v>400000</v>
      </c>
      <c r="S218" s="102">
        <f t="shared" si="42"/>
        <v>0</v>
      </c>
      <c r="T218" s="102">
        <f t="shared" si="42"/>
        <v>0</v>
      </c>
      <c r="U218" s="102">
        <f t="shared" si="42"/>
        <v>0</v>
      </c>
      <c r="V218" s="102">
        <f t="shared" si="42"/>
        <v>0</v>
      </c>
      <c r="W218" s="102">
        <f t="shared" si="42"/>
        <v>0</v>
      </c>
      <c r="X218" s="102">
        <f t="shared" si="42"/>
        <v>0</v>
      </c>
      <c r="Y218" s="102">
        <f t="shared" si="42"/>
        <v>0</v>
      </c>
      <c r="Z218" s="102">
        <f t="shared" si="42"/>
        <v>0</v>
      </c>
      <c r="AA218" s="102">
        <f t="shared" si="42"/>
        <v>0</v>
      </c>
      <c r="AB218" s="102">
        <f t="shared" si="42"/>
        <v>0</v>
      </c>
      <c r="AC218" s="102">
        <f t="shared" si="42"/>
        <v>0</v>
      </c>
      <c r="AD218" s="102">
        <f t="shared" si="42"/>
        <v>0</v>
      </c>
      <c r="AE218" s="102">
        <f t="shared" si="42"/>
        <v>0</v>
      </c>
      <c r="AF218" s="102">
        <f t="shared" si="42"/>
        <v>0</v>
      </c>
      <c r="AG218" s="102">
        <f t="shared" si="42"/>
        <v>0</v>
      </c>
      <c r="AH218" s="102">
        <f t="shared" si="42"/>
        <v>0</v>
      </c>
      <c r="AI218" s="102"/>
      <c r="AJ218" s="102">
        <f t="shared" si="42"/>
        <v>19083.809999999998</v>
      </c>
      <c r="AK218" s="102"/>
      <c r="AL218" s="102">
        <f t="shared" si="42"/>
        <v>118678.91</v>
      </c>
      <c r="AM218" s="102"/>
      <c r="AN218" s="102">
        <f t="shared" si="42"/>
        <v>2410.5100000000002</v>
      </c>
      <c r="AO218" s="102"/>
      <c r="AP218" s="102">
        <f t="shared" si="42"/>
        <v>18873.63</v>
      </c>
      <c r="AQ218" s="102"/>
      <c r="AR218" s="102">
        <f t="shared" si="42"/>
        <v>113219.20999999999</v>
      </c>
      <c r="AS218" s="102">
        <f t="shared" si="42"/>
        <v>0</v>
      </c>
      <c r="AT218" s="102">
        <f t="shared" si="42"/>
        <v>139998.12</v>
      </c>
      <c r="AU218" s="102">
        <f t="shared" si="42"/>
        <v>0</v>
      </c>
      <c r="AV218" s="102">
        <f t="shared" si="42"/>
        <v>0</v>
      </c>
      <c r="AW218" s="102">
        <f t="shared" si="42"/>
        <v>0</v>
      </c>
      <c r="AX218" s="102">
        <f t="shared" ref="AX218:BW218" si="43">SUM(AX212:AX217)</f>
        <v>0</v>
      </c>
      <c r="AY218" s="102">
        <f t="shared" si="43"/>
        <v>0</v>
      </c>
      <c r="AZ218" s="102">
        <f t="shared" si="43"/>
        <v>0</v>
      </c>
      <c r="BA218" s="102">
        <f t="shared" si="43"/>
        <v>0</v>
      </c>
      <c r="BB218" s="102">
        <f t="shared" si="43"/>
        <v>0</v>
      </c>
      <c r="BC218" s="102">
        <f t="shared" si="43"/>
        <v>0</v>
      </c>
      <c r="BD218" s="102">
        <f t="shared" si="43"/>
        <v>0</v>
      </c>
      <c r="BE218" s="102">
        <f t="shared" si="43"/>
        <v>0</v>
      </c>
      <c r="BF218" s="102">
        <f t="shared" si="43"/>
        <v>0</v>
      </c>
      <c r="BG218" s="102">
        <f t="shared" si="43"/>
        <v>0</v>
      </c>
      <c r="BH218" s="102">
        <f t="shared" si="43"/>
        <v>0</v>
      </c>
      <c r="BI218" s="102">
        <f t="shared" si="43"/>
        <v>0</v>
      </c>
      <c r="BJ218" s="102">
        <f t="shared" si="43"/>
        <v>0</v>
      </c>
      <c r="BK218" s="102">
        <f t="shared" si="43"/>
        <v>0</v>
      </c>
      <c r="BL218" s="102">
        <f t="shared" si="43"/>
        <v>0</v>
      </c>
      <c r="BM218" s="102">
        <f t="shared" si="43"/>
        <v>0</v>
      </c>
      <c r="BN218" s="102">
        <f t="shared" si="43"/>
        <v>412264.19000000006</v>
      </c>
      <c r="BO218" s="102">
        <f t="shared" si="43"/>
        <v>0</v>
      </c>
      <c r="BP218" s="102">
        <f t="shared" si="43"/>
        <v>0</v>
      </c>
      <c r="BQ218" s="102">
        <f t="shared" si="43"/>
        <v>0</v>
      </c>
      <c r="BR218" s="102">
        <f t="shared" si="43"/>
        <v>210951.99</v>
      </c>
      <c r="BS218" s="102">
        <f t="shared" si="43"/>
        <v>0</v>
      </c>
      <c r="BT218" s="102">
        <f t="shared" si="43"/>
        <v>623216.18000000005</v>
      </c>
      <c r="BU218" s="102">
        <f t="shared" si="43"/>
        <v>0</v>
      </c>
      <c r="BV218" s="102">
        <f t="shared" si="43"/>
        <v>-223216.18000000002</v>
      </c>
      <c r="BW218" s="102">
        <f t="shared" si="43"/>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v>0</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73053.180000000008</v>
      </c>
      <c r="BO221" s="12"/>
      <c r="BP221" s="12">
        <v>0</v>
      </c>
      <c r="BQ221" s="12"/>
      <c r="BR221" s="6">
        <f>IF(+R221-BN221+BP221&gt;0,R221-BN221+BP221,0)</f>
        <v>426946.82</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v>0</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0</v>
      </c>
      <c r="BO222" s="12"/>
      <c r="BP222" s="12">
        <v>0</v>
      </c>
      <c r="BQ222" s="12"/>
      <c r="BR222" s="6">
        <f>IF(+R222-BN222+BP222&gt;0,R222-BN222+BP222,0)</f>
        <v>0</v>
      </c>
      <c r="BS222" s="12"/>
      <c r="BT222" s="6">
        <f>+BN222+BR222</f>
        <v>0</v>
      </c>
      <c r="BU222" s="12"/>
      <c r="BV222" s="6">
        <f>+R222-BT222</f>
        <v>0</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0</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73053.180000000008</v>
      </c>
      <c r="BO224" s="9"/>
      <c r="BP224" s="102">
        <f>SUM(BP221:BP223)</f>
        <v>0</v>
      </c>
      <c r="BQ224" s="9"/>
      <c r="BR224" s="102">
        <f>SUM(BR221:BR223)</f>
        <v>426946.82</v>
      </c>
      <c r="BS224" s="9"/>
      <c r="BT224" s="102">
        <f>SUM(BT221:BT223)</f>
        <v>500000</v>
      </c>
      <c r="BU224" s="9"/>
      <c r="BV224" s="102">
        <f>SUM(BV221:BV223)</f>
        <v>0</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[1]Gleason!$W$39</f>
        <v>11378560.271158326</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v>0</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5913990.2759061633</v>
      </c>
      <c r="BO226" s="10"/>
      <c r="BP226" s="10">
        <v>0</v>
      </c>
      <c r="BQ226" s="10"/>
      <c r="BR226" s="6">
        <f>IF(+R226-BN226+BP226&gt;0,R226-BN226+BP226,0)</f>
        <v>5464569.9952521631</v>
      </c>
      <c r="BS226" s="10"/>
      <c r="BT226" s="9">
        <f>+BN226+BR226</f>
        <v>11378560.271158326</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4">R226+R218+R209+R207+R205+R199+R190+R180+R173+R171+R169+R167+R165+R224</f>
        <v>18018394.271158326</v>
      </c>
      <c r="S228" s="120">
        <f t="shared" si="44"/>
        <v>0</v>
      </c>
      <c r="T228" s="120">
        <f t="shared" si="44"/>
        <v>0</v>
      </c>
      <c r="U228" s="120">
        <f t="shared" si="44"/>
        <v>0</v>
      </c>
      <c r="V228" s="120">
        <f t="shared" si="44"/>
        <v>0</v>
      </c>
      <c r="W228" s="120">
        <f t="shared" si="44"/>
        <v>0</v>
      </c>
      <c r="X228" s="120">
        <f t="shared" si="44"/>
        <v>0</v>
      </c>
      <c r="Y228" s="120">
        <f t="shared" si="44"/>
        <v>0</v>
      </c>
      <c r="Z228" s="120">
        <f t="shared" si="44"/>
        <v>0</v>
      </c>
      <c r="AA228" s="120">
        <f t="shared" si="44"/>
        <v>0</v>
      </c>
      <c r="AB228" s="120">
        <f t="shared" si="44"/>
        <v>0</v>
      </c>
      <c r="AC228" s="120">
        <f t="shared" si="44"/>
        <v>0</v>
      </c>
      <c r="AD228" s="120">
        <f t="shared" si="44"/>
        <v>0</v>
      </c>
      <c r="AE228" s="120">
        <f t="shared" si="44"/>
        <v>0</v>
      </c>
      <c r="AF228" s="120">
        <f t="shared" si="44"/>
        <v>0</v>
      </c>
      <c r="AG228" s="120">
        <f t="shared" si="44"/>
        <v>0</v>
      </c>
      <c r="AH228" s="120">
        <f t="shared" si="44"/>
        <v>0</v>
      </c>
      <c r="AI228" s="120"/>
      <c r="AJ228" s="120">
        <f t="shared" si="44"/>
        <v>22626.809999999998</v>
      </c>
      <c r="AK228" s="120"/>
      <c r="AL228" s="120">
        <f t="shared" si="44"/>
        <v>4956551.49</v>
      </c>
      <c r="AM228" s="120"/>
      <c r="AN228" s="120">
        <f t="shared" si="44"/>
        <v>715387.53999999992</v>
      </c>
      <c r="AO228" s="120"/>
      <c r="AP228" s="120">
        <f t="shared" si="44"/>
        <v>563736.27267638885</v>
      </c>
      <c r="AQ228" s="120"/>
      <c r="AR228" s="120">
        <f t="shared" si="44"/>
        <v>949916.53322977468</v>
      </c>
      <c r="AS228" s="120">
        <f t="shared" si="44"/>
        <v>0</v>
      </c>
      <c r="AT228" s="120">
        <f t="shared" si="44"/>
        <v>340933.37</v>
      </c>
      <c r="AU228" s="120">
        <f t="shared" si="44"/>
        <v>0</v>
      </c>
      <c r="AV228" s="120">
        <f t="shared" si="44"/>
        <v>0</v>
      </c>
      <c r="AW228" s="120">
        <f t="shared" si="44"/>
        <v>0</v>
      </c>
      <c r="AX228" s="120">
        <f t="shared" si="44"/>
        <v>0</v>
      </c>
      <c r="AY228" s="120">
        <f t="shared" si="44"/>
        <v>0</v>
      </c>
      <c r="AZ228" s="120">
        <f t="shared" si="44"/>
        <v>0</v>
      </c>
      <c r="BA228" s="120">
        <f t="shared" si="44"/>
        <v>0</v>
      </c>
      <c r="BB228" s="120">
        <f t="shared" si="44"/>
        <v>0</v>
      </c>
      <c r="BC228" s="120">
        <f t="shared" si="44"/>
        <v>0</v>
      </c>
      <c r="BD228" s="120">
        <f t="shared" si="44"/>
        <v>0</v>
      </c>
      <c r="BE228" s="120">
        <f t="shared" si="44"/>
        <v>0</v>
      </c>
      <c r="BF228" s="120">
        <f t="shared" si="44"/>
        <v>0</v>
      </c>
      <c r="BG228" s="120">
        <f t="shared" si="44"/>
        <v>0</v>
      </c>
      <c r="BH228" s="120">
        <f t="shared" si="44"/>
        <v>0</v>
      </c>
      <c r="BI228" s="120">
        <f t="shared" si="44"/>
        <v>0</v>
      </c>
      <c r="BJ228" s="120">
        <f t="shared" si="44"/>
        <v>0</v>
      </c>
      <c r="BK228" s="120">
        <f t="shared" si="44"/>
        <v>0</v>
      </c>
      <c r="BL228" s="120">
        <f t="shared" si="44"/>
        <v>0</v>
      </c>
      <c r="BM228" s="120">
        <f t="shared" si="44"/>
        <v>0</v>
      </c>
      <c r="BN228" s="120">
        <f t="shared" si="44"/>
        <v>7549152.0159061635</v>
      </c>
      <c r="BO228" s="120">
        <f t="shared" si="44"/>
        <v>0</v>
      </c>
      <c r="BP228" s="120">
        <f t="shared" si="44"/>
        <v>0</v>
      </c>
      <c r="BQ228" s="120">
        <f t="shared" si="44"/>
        <v>0</v>
      </c>
      <c r="BR228" s="120">
        <f t="shared" si="44"/>
        <v>10693393.685252164</v>
      </c>
      <c r="BS228" s="120">
        <f t="shared" si="44"/>
        <v>0</v>
      </c>
      <c r="BT228" s="120">
        <f>BT226+BT218+BT209+BT207+BT205+BT199+BT190+BT180+BT173+BT171+BT169+BT167+BT165+BT224</f>
        <v>18242545.701158326</v>
      </c>
      <c r="BU228" s="120">
        <f>BU226+BU218+BU209+BU207+BU205+BU199+BU190+BU180+BU173+BU171+BU169+BU167+BU165+BU224</f>
        <v>0</v>
      </c>
      <c r="BV228" s="120">
        <f>BV226+BV218+BV209+BV207+BV205+BV199+BV190+BV180+BV173+BV171+BV169+BV167+BV165+BV224</f>
        <v>-224151.43000000002</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R37+R138+R128+R197+R143+R228+R230+R232</f>
        <v>173680226.27115834</v>
      </c>
      <c r="S234" s="168">
        <f t="shared" ref="S234:BU234" si="45">S37+S138+S128+S197+S143+S228+S230+S232</f>
        <v>0</v>
      </c>
      <c r="T234" s="168">
        <f t="shared" si="45"/>
        <v>0</v>
      </c>
      <c r="U234" s="168">
        <f t="shared" si="45"/>
        <v>0</v>
      </c>
      <c r="V234" s="168">
        <f t="shared" si="45"/>
        <v>0</v>
      </c>
      <c r="W234" s="168">
        <f t="shared" si="45"/>
        <v>0</v>
      </c>
      <c r="X234" s="168">
        <f t="shared" si="45"/>
        <v>0</v>
      </c>
      <c r="Y234" s="168">
        <f t="shared" si="45"/>
        <v>0</v>
      </c>
      <c r="Z234" s="168">
        <f t="shared" si="45"/>
        <v>0</v>
      </c>
      <c r="AA234" s="168">
        <f t="shared" si="45"/>
        <v>0</v>
      </c>
      <c r="AB234" s="168">
        <f t="shared" si="45"/>
        <v>0</v>
      </c>
      <c r="AC234" s="168">
        <f t="shared" si="45"/>
        <v>0</v>
      </c>
      <c r="AD234" s="168">
        <f t="shared" si="45"/>
        <v>0</v>
      </c>
      <c r="AE234" s="168">
        <f t="shared" si="45"/>
        <v>0</v>
      </c>
      <c r="AF234" s="168">
        <f t="shared" si="45"/>
        <v>0</v>
      </c>
      <c r="AG234" s="168">
        <f t="shared" si="45"/>
        <v>0</v>
      </c>
      <c r="AH234" s="168">
        <f t="shared" si="45"/>
        <v>0</v>
      </c>
      <c r="AI234" s="168"/>
      <c r="AJ234" s="168">
        <f t="shared" si="45"/>
        <v>22626.809999999998</v>
      </c>
      <c r="AK234" s="168"/>
      <c r="AL234" s="168">
        <f t="shared" si="45"/>
        <v>93152637.489999995</v>
      </c>
      <c r="AM234" s="168"/>
      <c r="AN234" s="168">
        <f t="shared" si="45"/>
        <v>715387.53999999992</v>
      </c>
      <c r="AO234" s="168"/>
      <c r="AP234" s="168">
        <f t="shared" si="45"/>
        <v>2178269.8126763888</v>
      </c>
      <c r="AQ234" s="168"/>
      <c r="AR234" s="168">
        <f t="shared" si="45"/>
        <v>7520808.7532297745</v>
      </c>
      <c r="AS234" s="168">
        <f t="shared" si="45"/>
        <v>0</v>
      </c>
      <c r="AT234" s="168">
        <f t="shared" si="45"/>
        <v>2114676.67</v>
      </c>
      <c r="AU234" s="168">
        <f t="shared" si="45"/>
        <v>0</v>
      </c>
      <c r="AV234" s="168">
        <f t="shared" si="45"/>
        <v>0</v>
      </c>
      <c r="AW234" s="168">
        <f t="shared" si="45"/>
        <v>0</v>
      </c>
      <c r="AX234" s="168">
        <f t="shared" si="45"/>
        <v>0</v>
      </c>
      <c r="AY234" s="168">
        <f t="shared" si="45"/>
        <v>0</v>
      </c>
      <c r="AZ234" s="168">
        <f t="shared" si="45"/>
        <v>0</v>
      </c>
      <c r="BA234" s="168">
        <f t="shared" si="45"/>
        <v>0</v>
      </c>
      <c r="BB234" s="168">
        <f t="shared" si="45"/>
        <v>0</v>
      </c>
      <c r="BC234" s="168">
        <f t="shared" si="45"/>
        <v>0</v>
      </c>
      <c r="BD234" s="168">
        <f t="shared" si="45"/>
        <v>0</v>
      </c>
      <c r="BE234" s="168">
        <f t="shared" si="45"/>
        <v>0</v>
      </c>
      <c r="BF234" s="168">
        <f t="shared" si="45"/>
        <v>0</v>
      </c>
      <c r="BG234" s="168">
        <f t="shared" si="45"/>
        <v>0</v>
      </c>
      <c r="BH234" s="168">
        <f t="shared" si="45"/>
        <v>0</v>
      </c>
      <c r="BI234" s="168">
        <f t="shared" si="45"/>
        <v>0</v>
      </c>
      <c r="BJ234" s="168">
        <f t="shared" si="45"/>
        <v>0</v>
      </c>
      <c r="BK234" s="168">
        <f t="shared" si="45"/>
        <v>0</v>
      </c>
      <c r="BL234" s="168">
        <f t="shared" si="45"/>
        <v>0</v>
      </c>
      <c r="BM234" s="168">
        <f t="shared" si="45"/>
        <v>0</v>
      </c>
      <c r="BN234" s="168">
        <f t="shared" si="45"/>
        <v>105704407.07590617</v>
      </c>
      <c r="BO234" s="168">
        <f t="shared" si="45"/>
        <v>0</v>
      </c>
      <c r="BP234" s="168">
        <f t="shared" si="45"/>
        <v>-850697</v>
      </c>
      <c r="BQ234" s="168">
        <f t="shared" si="45"/>
        <v>2030320</v>
      </c>
      <c r="BR234" s="168">
        <f t="shared" si="45"/>
        <v>67357273.18525216</v>
      </c>
      <c r="BS234" s="168">
        <f t="shared" si="45"/>
        <v>2030320</v>
      </c>
      <c r="BT234" s="168">
        <f t="shared" si="45"/>
        <v>173061680.26115832</v>
      </c>
      <c r="BU234" s="168">
        <f t="shared" si="45"/>
        <v>2030320</v>
      </c>
      <c r="BV234" s="168">
        <f>R234-BT234</f>
        <v>618546.01000002027</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0</v>
      </c>
      <c r="BO237" s="9"/>
      <c r="BP237" s="10"/>
      <c r="BQ237" s="9"/>
      <c r="BR237" s="10">
        <v>0</v>
      </c>
      <c r="BS237" s="9"/>
      <c r="BT237" s="9">
        <f>+BN237+BR237</f>
        <v>0</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5" thickBot="1">
      <c r="A240" s="84" t="s">
        <v>292</v>
      </c>
      <c r="B240" s="54"/>
      <c r="J240" s="158"/>
      <c r="L240" s="144"/>
      <c r="M240" s="13"/>
      <c r="N240" s="120"/>
      <c r="O240" s="13"/>
      <c r="P240" s="120"/>
      <c r="Q240" s="13"/>
      <c r="R240" s="121">
        <f t="shared" ref="R240:BW240" si="46">R234+R237</f>
        <v>173680226.27115834</v>
      </c>
      <c r="S240" s="121">
        <f t="shared" si="46"/>
        <v>0</v>
      </c>
      <c r="T240" s="121">
        <f t="shared" si="46"/>
        <v>0</v>
      </c>
      <c r="U240" s="121">
        <f t="shared" si="46"/>
        <v>0</v>
      </c>
      <c r="V240" s="121">
        <f t="shared" si="46"/>
        <v>0</v>
      </c>
      <c r="W240" s="121">
        <f t="shared" si="46"/>
        <v>0</v>
      </c>
      <c r="X240" s="121">
        <f t="shared" si="46"/>
        <v>0</v>
      </c>
      <c r="Y240" s="121">
        <f t="shared" si="46"/>
        <v>0</v>
      </c>
      <c r="Z240" s="121">
        <f t="shared" si="46"/>
        <v>0</v>
      </c>
      <c r="AA240" s="121">
        <f t="shared" si="46"/>
        <v>0</v>
      </c>
      <c r="AB240" s="121">
        <f t="shared" si="46"/>
        <v>0</v>
      </c>
      <c r="AC240" s="121">
        <f t="shared" si="46"/>
        <v>0</v>
      </c>
      <c r="AD240" s="121">
        <f t="shared" si="46"/>
        <v>0</v>
      </c>
      <c r="AE240" s="121">
        <f t="shared" si="46"/>
        <v>0</v>
      </c>
      <c r="AF240" s="121">
        <f t="shared" si="46"/>
        <v>0</v>
      </c>
      <c r="AG240" s="121">
        <f t="shared" si="46"/>
        <v>0</v>
      </c>
      <c r="AH240" s="121">
        <f t="shared" si="46"/>
        <v>0</v>
      </c>
      <c r="AI240" s="121"/>
      <c r="AJ240" s="121">
        <f t="shared" si="46"/>
        <v>22626.809999999998</v>
      </c>
      <c r="AK240" s="121"/>
      <c r="AL240" s="121">
        <f t="shared" si="46"/>
        <v>93152637.489999995</v>
      </c>
      <c r="AM240" s="121"/>
      <c r="AN240" s="121">
        <f t="shared" si="46"/>
        <v>715387.53999999992</v>
      </c>
      <c r="AO240" s="121"/>
      <c r="AP240" s="121">
        <f t="shared" si="46"/>
        <v>2178269.8126763888</v>
      </c>
      <c r="AQ240" s="121"/>
      <c r="AR240" s="121">
        <f t="shared" si="46"/>
        <v>7520808.7532297745</v>
      </c>
      <c r="AS240" s="121">
        <f t="shared" si="46"/>
        <v>0</v>
      </c>
      <c r="AT240" s="121">
        <f t="shared" si="46"/>
        <v>2114676.67</v>
      </c>
      <c r="AU240" s="121">
        <f t="shared" si="46"/>
        <v>0</v>
      </c>
      <c r="AV240" s="121">
        <f t="shared" si="46"/>
        <v>0</v>
      </c>
      <c r="AW240" s="121">
        <f t="shared" si="46"/>
        <v>0</v>
      </c>
      <c r="AX240" s="121">
        <f t="shared" si="46"/>
        <v>0</v>
      </c>
      <c r="AY240" s="121">
        <f t="shared" si="46"/>
        <v>0</v>
      </c>
      <c r="AZ240" s="121">
        <f t="shared" si="46"/>
        <v>0</v>
      </c>
      <c r="BA240" s="121">
        <f t="shared" si="46"/>
        <v>0</v>
      </c>
      <c r="BB240" s="121">
        <f t="shared" si="46"/>
        <v>0</v>
      </c>
      <c r="BC240" s="121">
        <f t="shared" si="46"/>
        <v>0</v>
      </c>
      <c r="BD240" s="121">
        <f t="shared" si="46"/>
        <v>0</v>
      </c>
      <c r="BE240" s="121">
        <f t="shared" si="46"/>
        <v>0</v>
      </c>
      <c r="BF240" s="121">
        <f t="shared" si="46"/>
        <v>0</v>
      </c>
      <c r="BG240" s="121">
        <f t="shared" si="46"/>
        <v>0</v>
      </c>
      <c r="BH240" s="121">
        <f t="shared" si="46"/>
        <v>0</v>
      </c>
      <c r="BI240" s="121">
        <f t="shared" si="46"/>
        <v>0</v>
      </c>
      <c r="BJ240" s="121">
        <f t="shared" si="46"/>
        <v>0</v>
      </c>
      <c r="BK240" s="121">
        <f t="shared" si="46"/>
        <v>0</v>
      </c>
      <c r="BL240" s="121">
        <f t="shared" si="46"/>
        <v>0</v>
      </c>
      <c r="BM240" s="121">
        <f t="shared" si="46"/>
        <v>0</v>
      </c>
      <c r="BN240" s="121">
        <f t="shared" si="46"/>
        <v>105704407.07590617</v>
      </c>
      <c r="BO240" s="121">
        <f t="shared" si="46"/>
        <v>0</v>
      </c>
      <c r="BP240" s="121">
        <f t="shared" si="46"/>
        <v>-850697</v>
      </c>
      <c r="BQ240" s="121">
        <f t="shared" si="46"/>
        <v>2030320</v>
      </c>
      <c r="BR240" s="121">
        <f t="shared" si="46"/>
        <v>67357273.18525216</v>
      </c>
      <c r="BS240" s="121">
        <f t="shared" si="46"/>
        <v>2030320</v>
      </c>
      <c r="BT240" s="121">
        <f t="shared" si="46"/>
        <v>173061680.26115832</v>
      </c>
      <c r="BU240" s="121">
        <f t="shared" si="46"/>
        <v>2030320</v>
      </c>
      <c r="BV240" s="121">
        <f t="shared" si="46"/>
        <v>618546.01000002027</v>
      </c>
      <c r="BW240" s="121">
        <f t="shared" si="46"/>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5"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row r="244" spans="1:124" customFormat="1">
      <c r="BN244" s="38"/>
    </row>
    <row r="245" spans="1:124" customFormat="1"/>
    <row r="246" spans="1:124" customFormat="1"/>
    <row r="247" spans="1:124" customFormat="1"/>
    <row r="248" spans="1:124" customFormat="1"/>
    <row r="249" spans="1:124" customFormat="1"/>
    <row r="250" spans="1:124" customFormat="1"/>
    <row r="251" spans="1:124" customFormat="1"/>
    <row r="252" spans="1:124" customFormat="1"/>
    <row r="253" spans="1:124" customFormat="1"/>
    <row r="254" spans="1:124" customFormat="1"/>
    <row r="255" spans="1:124" customFormat="1"/>
    <row r="256" spans="1:124"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2"/>
  <sheetViews>
    <sheetView zoomScale="66" zoomScaleNormal="66" workbookViewId="0">
      <pane xSplit="19" ySplit="7" topLeftCell="AN156" activePane="bottomRight" state="frozen"/>
      <selection activeCell="A6" sqref="A6"/>
      <selection pane="topRight" activeCell="A6" sqref="A6"/>
      <selection pane="bottomLeft" activeCell="A6" sqref="A6"/>
      <selection pane="bottomRight" activeCell="J190" sqref="J190"/>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- 121499.xls]Summary</v>
      </c>
    </row>
    <row r="3" spans="1:74" s="18" customFormat="1" ht="15.75">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36508.723468402779</v>
      </c>
      <c r="BR3" s="23"/>
      <c r="BT3" s="78" t="str">
        <f>Summary!A5</f>
        <v>Revision # 38</v>
      </c>
    </row>
    <row r="4" spans="1:74" s="18" customFormat="1" ht="15.75">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75">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75">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82"/>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L7" s="71" t="str">
        <f>+Summary!$O$4</f>
        <v xml:space="preserve"> As of 12/10/1999</v>
      </c>
      <c r="BN7" s="64" t="str">
        <f>+Summary!$O$4</f>
        <v xml:space="preserve"> As of 12/10/1999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0</v>
      </c>
      <c r="AT9" s="6">
        <v>0</v>
      </c>
      <c r="AV9" s="6">
        <v>0</v>
      </c>
      <c r="AX9" s="6">
        <v>0</v>
      </c>
      <c r="AZ9" s="6">
        <v>0</v>
      </c>
      <c r="BB9" s="6">
        <v>0</v>
      </c>
      <c r="BD9" s="6">
        <v>0</v>
      </c>
      <c r="BF9" s="6">
        <v>0</v>
      </c>
      <c r="BH9" s="6">
        <v>0</v>
      </c>
      <c r="BJ9" s="6">
        <v>0</v>
      </c>
      <c r="BK9" s="6"/>
      <c r="BL9" s="6">
        <f>SUM(T9:BK9)</f>
        <v>77632887.900000006</v>
      </c>
      <c r="BM9" s="6"/>
      <c r="BN9" s="6">
        <f>-100000+353801-22200+66200</f>
        <v>297801</v>
      </c>
      <c r="BO9" s="6"/>
      <c r="BP9" s="6">
        <f>IF(+R9-BL9+BN9&gt;0,R9-BL9+BN9,0)</f>
        <v>8486413.099999994</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0</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77632887.900000006</v>
      </c>
      <c r="BM12" s="6"/>
      <c r="BN12" s="101">
        <f>SUM(BN9:BN11)</f>
        <v>297801</v>
      </c>
      <c r="BO12" s="6"/>
      <c r="BP12" s="101">
        <f>SUM(BP9:BP11)</f>
        <v>8586413.099999994</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1190506.2</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80089244.900000006</v>
      </c>
      <c r="BM34" s="115"/>
      <c r="BN34" s="115">
        <f>+BN32+BN12</f>
        <v>376281</v>
      </c>
      <c r="BO34" s="115"/>
      <c r="BP34" s="115">
        <f>+BP32+BP12</f>
        <v>10570590.099999994</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v>0</v>
      </c>
      <c r="BO41" s="6"/>
      <c r="BP41" s="6">
        <f t="shared" si="6"/>
        <v>1396603</v>
      </c>
      <c r="BR41" s="6">
        <f t="shared" si="7"/>
        <v>1473926</v>
      </c>
      <c r="BT41" s="6">
        <f t="shared" ref="BT41:BT54" si="8">+R41-BR41</f>
        <v>0</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v>0</v>
      </c>
      <c r="BO44" s="6"/>
      <c r="BP44" s="6">
        <f t="shared" si="6"/>
        <v>3866620</v>
      </c>
      <c r="BR44" s="6">
        <f t="shared" si="7"/>
        <v>3989779</v>
      </c>
      <c r="BT44" s="6">
        <f t="shared" si="8"/>
        <v>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0</v>
      </c>
      <c r="BO56" s="9">
        <f t="shared" si="9"/>
        <v>0</v>
      </c>
      <c r="BP56" s="9">
        <f t="shared" si="9"/>
        <v>12074309</v>
      </c>
      <c r="BQ56" s="9">
        <f t="shared" si="9"/>
        <v>0</v>
      </c>
      <c r="BR56" s="9">
        <f t="shared" si="9"/>
        <v>12701255</v>
      </c>
      <c r="BS56" s="9">
        <f t="shared" si="9"/>
        <v>0</v>
      </c>
      <c r="BT56" s="9">
        <f t="shared" si="9"/>
        <v>0</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2055664</v>
      </c>
      <c r="BO123" s="247">
        <f t="shared" si="22"/>
        <v>0</v>
      </c>
      <c r="BP123" s="247">
        <f t="shared" si="22"/>
        <v>35543485</v>
      </c>
      <c r="BQ123" s="247">
        <f t="shared" si="22"/>
        <v>0</v>
      </c>
      <c r="BR123" s="247">
        <f t="shared" si="22"/>
        <v>39998863.549999997</v>
      </c>
      <c r="BS123" s="247">
        <f t="shared" si="22"/>
        <v>0</v>
      </c>
      <c r="BT123" s="247">
        <f t="shared" si="22"/>
        <v>-2055663.5499999998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0</v>
      </c>
      <c r="AS127" s="22"/>
      <c r="AT127" s="6">
        <v>0</v>
      </c>
      <c r="AV127" s="6">
        <v>0</v>
      </c>
      <c r="AX127" s="6">
        <v>0</v>
      </c>
      <c r="AZ127" s="6">
        <v>0</v>
      </c>
      <c r="BB127" s="6">
        <v>0</v>
      </c>
      <c r="BD127" s="6">
        <v>0</v>
      </c>
      <c r="BF127" s="6">
        <v>0</v>
      </c>
      <c r="BH127" s="6">
        <v>0</v>
      </c>
      <c r="BJ127" s="6">
        <v>0</v>
      </c>
      <c r="BK127" s="6"/>
      <c r="BL127" s="6">
        <f t="shared" ref="BL127:BL132" si="23">SUM(T127:BK127)</f>
        <v>387416.66333333333</v>
      </c>
      <c r="BM127" s="6"/>
      <c r="BN127" s="6">
        <v>0</v>
      </c>
      <c r="BO127" s="6"/>
      <c r="BP127" s="6">
        <f t="shared" ref="BP127:BP133" si="24">IF(+R127-BL127+BN127&gt;0,R127-BL127+BN127,0)</f>
        <v>542383.33666666667</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0</v>
      </c>
      <c r="AS128" s="22"/>
      <c r="AT128" s="6">
        <v>0</v>
      </c>
      <c r="AV128" s="6">
        <v>0</v>
      </c>
      <c r="AX128" s="6">
        <v>0</v>
      </c>
      <c r="AZ128" s="6">
        <v>0</v>
      </c>
      <c r="BB128" s="6">
        <v>0</v>
      </c>
      <c r="BD128" s="6">
        <v>0</v>
      </c>
      <c r="BF128" s="6">
        <v>0</v>
      </c>
      <c r="BH128" s="6">
        <v>0</v>
      </c>
      <c r="BJ128" s="6">
        <v>0</v>
      </c>
      <c r="BK128" s="6"/>
      <c r="BL128" s="6">
        <f t="shared" si="23"/>
        <v>994449.3466666668</v>
      </c>
      <c r="BM128" s="6"/>
      <c r="BN128" s="6">
        <v>0</v>
      </c>
      <c r="BO128" s="6"/>
      <c r="BP128" s="6">
        <f t="shared" si="24"/>
        <v>1392250.6533333333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0</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1381866.0100000002</v>
      </c>
      <c r="BM134" s="115"/>
      <c r="BN134" s="116">
        <f>SUM(BN127:BN133)</f>
        <v>0</v>
      </c>
      <c r="BO134" s="115"/>
      <c r="BP134" s="116">
        <f>SUM(BP127:BP133)</f>
        <v>5001333.99</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0</v>
      </c>
      <c r="AT160" s="6">
        <v>0</v>
      </c>
      <c r="AV160" s="6">
        <v>0</v>
      </c>
      <c r="AX160" s="6">
        <v>0</v>
      </c>
      <c r="AZ160" s="6">
        <v>0</v>
      </c>
      <c r="BB160" s="6">
        <v>0</v>
      </c>
      <c r="BD160" s="6">
        <v>0</v>
      </c>
      <c r="BF160" s="6">
        <v>0</v>
      </c>
      <c r="BH160" s="6">
        <v>0</v>
      </c>
      <c r="BJ160" s="6">
        <v>0</v>
      </c>
      <c r="BK160" s="6"/>
      <c r="BL160" s="6">
        <f>SUM(T160:BK160)</f>
        <v>1069443.8600000001</v>
      </c>
      <c r="BM160" s="6"/>
      <c r="BN160" s="6">
        <v>341944</v>
      </c>
      <c r="BO160" s="6"/>
      <c r="BP160" s="6">
        <f>IF(+R160-BL160+BN160&gt;0,R160-BL160+BN160,0)</f>
        <v>0.13999999989755452</v>
      </c>
      <c r="BR160" s="6">
        <f>+BL160+BP160</f>
        <v>1069444</v>
      </c>
      <c r="BT160" s="6">
        <f>+R160-BR160</f>
        <v>-341944</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1111943.8600000001</v>
      </c>
      <c r="BM162" s="9"/>
      <c r="BN162" s="102">
        <f>SUM(BN158:BN161)</f>
        <v>342944</v>
      </c>
      <c r="BO162" s="9"/>
      <c r="BP162" s="102">
        <f>SUM(BP158:BP161)</f>
        <v>1000.1399999998976</v>
      </c>
      <c r="BQ162" s="9"/>
      <c r="BR162" s="102">
        <f>SUM(BR158:BR161)</f>
        <v>1112944</v>
      </c>
      <c r="BS162" s="9"/>
      <c r="BT162" s="102">
        <f>SUM(BT158:BT161)</f>
        <v>-342944</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v>1812</v>
      </c>
      <c r="AT167" s="6">
        <v>0</v>
      </c>
      <c r="AV167" s="6">
        <v>0</v>
      </c>
      <c r="AX167" s="6">
        <v>0</v>
      </c>
      <c r="AZ167" s="6">
        <v>0</v>
      </c>
      <c r="BB167" s="6">
        <v>0</v>
      </c>
      <c r="BD167" s="6">
        <v>0</v>
      </c>
      <c r="BF167" s="6">
        <v>0</v>
      </c>
      <c r="BH167" s="6">
        <v>0</v>
      </c>
      <c r="BJ167" s="6">
        <v>0</v>
      </c>
      <c r="BK167" s="6"/>
      <c r="BL167" s="6">
        <f>SUM(T167:BK167)</f>
        <v>350177.06999999995</v>
      </c>
      <c r="BM167" s="6"/>
      <c r="BN167" s="6">
        <v>0</v>
      </c>
      <c r="BO167" s="6"/>
      <c r="BP167" s="6">
        <f>IF(+R167-BL167+BN167&gt;0,R167-BL167+BN167,0)</f>
        <v>99822.930000000051</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1812</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350177.06999999995</v>
      </c>
      <c r="BM169" s="9"/>
      <c r="BN169" s="102">
        <f>SUM(BN165:BN168)</f>
        <v>0</v>
      </c>
      <c r="BO169" s="9"/>
      <c r="BP169" s="102">
        <f>SUM(BP165:BP168)</f>
        <v>99822.930000000051</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59314.09</v>
      </c>
      <c r="BM187" s="12"/>
      <c r="BN187" s="12">
        <v>0</v>
      </c>
      <c r="BO187" s="12"/>
      <c r="BP187" s="6">
        <f t="shared" si="28"/>
        <v>90685.91</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f>
        <v>25383.79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117520.04999999999</v>
      </c>
      <c r="BM189" s="12"/>
      <c r="BN189" s="12">
        <v>0</v>
      </c>
      <c r="BO189" s="12"/>
      <c r="BP189" s="6">
        <f t="shared" si="28"/>
        <v>102479.95000000001</v>
      </c>
      <c r="BQ189" s="12"/>
      <c r="BR189" s="6">
        <f t="shared" si="29"/>
        <v>220000</v>
      </c>
      <c r="BS189" s="12"/>
      <c r="BT189" s="6">
        <f t="shared" si="30"/>
        <v>0</v>
      </c>
      <c r="BU189" s="12"/>
    </row>
    <row r="190" spans="1:122" s="11" customFormat="1">
      <c r="A190" s="17"/>
      <c r="B190" s="11" t="s">
        <v>510</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f>
        <v>107679.56</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191012.91</v>
      </c>
      <c r="BM190" s="12"/>
      <c r="BN190" s="12">
        <v>0</v>
      </c>
      <c r="BO190" s="12"/>
      <c r="BP190" s="6">
        <f t="shared" si="28"/>
        <v>0</v>
      </c>
      <c r="BQ190" s="12"/>
      <c r="BR190" s="6">
        <f t="shared" si="29"/>
        <v>191012.91</v>
      </c>
      <c r="BS190" s="12"/>
      <c r="BT190" s="6">
        <f t="shared" si="30"/>
        <v>-191012.91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133063.35</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541577.39999999991</v>
      </c>
      <c r="BM192" s="102">
        <f t="shared" si="31"/>
        <v>0</v>
      </c>
      <c r="BN192" s="102">
        <f t="shared" si="31"/>
        <v>159233</v>
      </c>
      <c r="BO192" s="102">
        <f t="shared" si="31"/>
        <v>0</v>
      </c>
      <c r="BP192" s="102">
        <f t="shared" si="31"/>
        <v>208668.68000000002</v>
      </c>
      <c r="BQ192" s="102">
        <f t="shared" si="31"/>
        <v>0</v>
      </c>
      <c r="BR192" s="102">
        <f t="shared" si="31"/>
        <v>750246.08000000007</v>
      </c>
      <c r="BS192" s="102">
        <f t="shared" si="31"/>
        <v>0</v>
      </c>
      <c r="BT192" s="102">
        <f t="shared" si="31"/>
        <v>-350246.07999999996</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300000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300000</v>
      </c>
      <c r="BQ195" s="12"/>
      <c r="BR195" s="6">
        <f>+BL195+BP195</f>
        <v>300000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122</v>
      </c>
      <c r="J196" s="160"/>
      <c r="L196" s="146" t="s">
        <v>205</v>
      </c>
      <c r="M196" s="12"/>
      <c r="N196" s="12">
        <v>500000</v>
      </c>
      <c r="O196" s="12"/>
      <c r="P196" s="12">
        <v>-300000</v>
      </c>
      <c r="Q196" s="12"/>
      <c r="R196" s="6">
        <v>100000</v>
      </c>
      <c r="S196" s="12"/>
      <c r="T196" s="12">
        <v>0</v>
      </c>
      <c r="U196" s="12"/>
      <c r="V196" s="12">
        <v>0</v>
      </c>
      <c r="W196" s="12"/>
      <c r="X196" s="12">
        <v>0</v>
      </c>
      <c r="Y196" s="12"/>
      <c r="Z196" s="12"/>
      <c r="AA196" s="12"/>
      <c r="AB196" s="12"/>
      <c r="AC196" s="12"/>
      <c r="AD196" s="12"/>
      <c r="AE196" s="12"/>
      <c r="AF196" s="12">
        <v>0</v>
      </c>
      <c r="AG196" s="12"/>
      <c r="AH196" s="12">
        <v>15169.98</v>
      </c>
      <c r="AI196" s="12"/>
      <c r="AJ196" s="12">
        <v>0</v>
      </c>
      <c r="AK196" s="12"/>
      <c r="AL196" s="12">
        <v>29399.49</v>
      </c>
      <c r="AM196" s="12"/>
      <c r="AN196" s="12">
        <v>20442.900000000001</v>
      </c>
      <c r="AO196" s="12"/>
      <c r="AP196" s="12">
        <v>10582.42</v>
      </c>
      <c r="AQ196" s="12"/>
      <c r="AR196" s="12">
        <v>589.73</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SUM(T196:BK196)</f>
        <v>76184.52</v>
      </c>
      <c r="BM196" s="12"/>
      <c r="BN196" s="12">
        <v>0</v>
      </c>
      <c r="BO196" s="12"/>
      <c r="BP196" s="6">
        <f>IF(+R196-BL196+BN196&gt;0,R196-BL196+BN196,0)</f>
        <v>23815.479999999996</v>
      </c>
      <c r="BQ196" s="12"/>
      <c r="BR196" s="6">
        <f>+BL196+BP196</f>
        <v>100000</v>
      </c>
      <c r="BS196" s="12"/>
      <c r="BT196" s="6">
        <f>+R196-BR196</f>
        <v>0</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J197" s="160"/>
      <c r="L197" s="146"/>
      <c r="M197" s="12"/>
      <c r="N197" s="12"/>
      <c r="O197" s="12"/>
      <c r="P197" s="12">
        <v>5511</v>
      </c>
      <c r="Q197" s="12"/>
      <c r="R197" s="6"/>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f>SUM(T197:BK197)</f>
        <v>0</v>
      </c>
      <c r="BM197" s="12"/>
      <c r="BN197" s="12">
        <v>0</v>
      </c>
      <c r="BO197" s="12"/>
      <c r="BP197" s="6">
        <f>IF(+R197-BL197+BN197&gt;0,R197-BL197+BN197,0)</f>
        <v>0</v>
      </c>
      <c r="BQ197" s="12"/>
      <c r="BR197" s="6">
        <f>+BL197+BP197</f>
        <v>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t="s">
        <v>42</v>
      </c>
      <c r="J198" s="8"/>
      <c r="L198" s="143"/>
      <c r="M198" s="9"/>
      <c r="N198" s="102">
        <f>SUM(N195:N197)</f>
        <v>500000</v>
      </c>
      <c r="O198" s="102">
        <f>SUM(O195:O197)</f>
        <v>0</v>
      </c>
      <c r="P198" s="102">
        <f>SUM(P195:P197)</f>
        <v>0</v>
      </c>
      <c r="Q198" s="102">
        <f>SUM(Q195:Q197)</f>
        <v>0</v>
      </c>
      <c r="R198" s="102">
        <f>SUM(R195:R197)</f>
        <v>400000</v>
      </c>
      <c r="S198" s="9"/>
      <c r="T198" s="102">
        <f>SUM(T195:T197)</f>
        <v>0</v>
      </c>
      <c r="U198" s="9"/>
      <c r="V198" s="102">
        <f>SUM(V195:V197)</f>
        <v>0</v>
      </c>
      <c r="W198" s="9"/>
      <c r="X198" s="102">
        <f>SUM(X195:X197)</f>
        <v>0</v>
      </c>
      <c r="Y198" s="9"/>
      <c r="Z198" s="102">
        <f>SUM(Z195:Z197)</f>
        <v>0</v>
      </c>
      <c r="AA198" s="9"/>
      <c r="AB198" s="102">
        <f>SUM(AB195:AB197)</f>
        <v>0</v>
      </c>
      <c r="AC198" s="9"/>
      <c r="AD198" s="102">
        <f>SUM(AD195:AD197)</f>
        <v>0</v>
      </c>
      <c r="AE198" s="9"/>
      <c r="AF198" s="102">
        <f>SUM(AF195:AF197)</f>
        <v>0</v>
      </c>
      <c r="AG198" s="9"/>
      <c r="AH198" s="102">
        <f>SUM(AH195:AH197)</f>
        <v>15169.98</v>
      </c>
      <c r="AI198" s="9"/>
      <c r="AJ198" s="102">
        <f>SUM(AJ195:AJ197)</f>
        <v>0</v>
      </c>
      <c r="AK198" s="9"/>
      <c r="AL198" s="102">
        <f>SUM(AL195:AL197)</f>
        <v>29399.49</v>
      </c>
      <c r="AM198" s="9"/>
      <c r="AN198" s="102">
        <f>SUM(AN195:AN197)</f>
        <v>20442.900000000001</v>
      </c>
      <c r="AO198" s="9"/>
      <c r="AP198" s="102">
        <f>SUM(AP195:AP197)</f>
        <v>10582.42</v>
      </c>
      <c r="AQ198" s="9"/>
      <c r="AR198" s="102">
        <f>SUM(AR195:AR197)</f>
        <v>589.73</v>
      </c>
      <c r="AS198" s="9"/>
      <c r="AT198" s="102">
        <f>SUM(AT195:AT197)</f>
        <v>0</v>
      </c>
      <c r="AU198" s="10"/>
      <c r="AV198" s="102">
        <f>SUM(AV195:AV197)</f>
        <v>0</v>
      </c>
      <c r="AW198" s="10"/>
      <c r="AX198" s="102">
        <f>SUM(AX195:AX197)</f>
        <v>0</v>
      </c>
      <c r="AY198" s="10"/>
      <c r="AZ198" s="102">
        <f>SUM(AZ195:AZ197)</f>
        <v>0</v>
      </c>
      <c r="BA198" s="10"/>
      <c r="BB198" s="102">
        <f>SUM(BB195:BB197)</f>
        <v>0</v>
      </c>
      <c r="BC198" s="10"/>
      <c r="BD198" s="102">
        <f>SUM(BD195:BD197)</f>
        <v>0</v>
      </c>
      <c r="BE198" s="10"/>
      <c r="BF198" s="102">
        <f>SUM(BF195:BF197)</f>
        <v>0</v>
      </c>
      <c r="BG198" s="10"/>
      <c r="BH198" s="102">
        <f>SUM(BH195:BH197)</f>
        <v>0</v>
      </c>
      <c r="BI198" s="10"/>
      <c r="BJ198" s="102">
        <f>SUM(BJ195:BJ197)</f>
        <v>0</v>
      </c>
      <c r="BK198" s="9"/>
      <c r="BL198" s="102">
        <f>SUM(BL195:BL197)</f>
        <v>76184.52</v>
      </c>
      <c r="BM198" s="9"/>
      <c r="BN198" s="102">
        <f>SUM(BN195:BN197)</f>
        <v>0</v>
      </c>
      <c r="BO198" s="9"/>
      <c r="BP198" s="102">
        <f>SUM(BP195:BP197)</f>
        <v>323815.48</v>
      </c>
      <c r="BQ198" s="9"/>
      <c r="BR198" s="102">
        <f>SUM(BR195:BR197)</f>
        <v>400000</v>
      </c>
      <c r="BS198" s="9"/>
      <c r="BT198" s="102">
        <f>SUM(BT195:BT197)</f>
        <v>0</v>
      </c>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8"/>
      <c r="B199" s="31"/>
      <c r="J199" s="8"/>
      <c r="L199" s="143"/>
      <c r="M199" s="9"/>
      <c r="N199" s="10"/>
      <c r="O199" s="10"/>
      <c r="P199" s="10"/>
      <c r="Q199" s="10"/>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10"/>
      <c r="AV199" s="10"/>
      <c r="AW199" s="10"/>
      <c r="AX199" s="10"/>
      <c r="AY199" s="10"/>
      <c r="AZ199" s="10"/>
      <c r="BA199" s="10"/>
      <c r="BB199" s="10"/>
      <c r="BC199" s="10"/>
      <c r="BD199" s="10"/>
      <c r="BE199" s="10"/>
      <c r="BF199" s="10"/>
      <c r="BG199" s="10"/>
      <c r="BH199" s="10"/>
      <c r="BI199" s="10"/>
      <c r="BJ199" s="10"/>
      <c r="BK199" s="9"/>
      <c r="BL199" s="10"/>
      <c r="BM199" s="9"/>
      <c r="BN199" s="10"/>
      <c r="BO199" s="9"/>
      <c r="BP199" s="10"/>
      <c r="BQ199" s="9"/>
      <c r="BR199" s="10"/>
      <c r="BS199" s="9"/>
      <c r="BT199" s="10"/>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31" customFormat="1">
      <c r="A200" s="58" t="s">
        <v>251</v>
      </c>
      <c r="J200" s="159"/>
      <c r="L200" s="145" t="s">
        <v>204</v>
      </c>
      <c r="M200" s="10"/>
      <c r="N200" s="10">
        <v>10922239</v>
      </c>
      <c r="O200" s="10"/>
      <c r="P200" s="10">
        <f>10969926-N200</f>
        <v>47687</v>
      </c>
      <c r="Q200" s="10"/>
      <c r="R200" s="9">
        <f>[1]Wheatland!$V$39+[1]Wheatland!$V$40</f>
        <v>9897138.3755760584</v>
      </c>
      <c r="S200" s="10"/>
      <c r="T200" s="10">
        <v>413818</v>
      </c>
      <c r="U200" s="10"/>
      <c r="V200" s="10">
        <f>250563-10722</f>
        <v>239841</v>
      </c>
      <c r="W200" s="10"/>
      <c r="X200" s="10">
        <v>375473</v>
      </c>
      <c r="Y200" s="10"/>
      <c r="Z200" s="10">
        <f>11622+362544-6</f>
        <v>374160</v>
      </c>
      <c r="AA200" s="10"/>
      <c r="AB200" s="10">
        <v>374175</v>
      </c>
      <c r="AC200" s="10"/>
      <c r="AD200" s="10">
        <v>479817</v>
      </c>
      <c r="AE200" s="10"/>
      <c r="AF200" s="10">
        <f>[1]Wheatland!$I$39</f>
        <v>431577.41862083337</v>
      </c>
      <c r="AG200" s="10"/>
      <c r="AH200" s="10">
        <f>[1]Wheatland!$J$39</f>
        <v>437225.48213836289</v>
      </c>
      <c r="AI200" s="10"/>
      <c r="AJ200" s="10">
        <f>[1]Wheatland!$K$39</f>
        <v>445286.67641661229</v>
      </c>
      <c r="AK200" s="10"/>
      <c r="AL200" s="10">
        <f>[1]Wheatland!$L$39</f>
        <v>454783</v>
      </c>
      <c r="AM200" s="10"/>
      <c r="AN200" s="10">
        <f>[1]Wheatland!$M$39</f>
        <v>462626.31550692458</v>
      </c>
      <c r="AO200" s="10"/>
      <c r="AP200" s="10">
        <f>[1]Wheatland!$N$39</f>
        <v>491955.34096592036</v>
      </c>
      <c r="AQ200" s="10"/>
      <c r="AR200" s="10">
        <v>0</v>
      </c>
      <c r="AS200" s="10"/>
      <c r="AT200" s="10">
        <v>0</v>
      </c>
      <c r="AU200" s="10"/>
      <c r="AV200" s="10">
        <v>0</v>
      </c>
      <c r="AW200" s="10"/>
      <c r="AX200" s="10">
        <v>0</v>
      </c>
      <c r="AY200" s="10"/>
      <c r="AZ200" s="10">
        <v>0</v>
      </c>
      <c r="BA200" s="10"/>
      <c r="BB200" s="10">
        <v>0</v>
      </c>
      <c r="BC200" s="10"/>
      <c r="BD200" s="10">
        <v>0</v>
      </c>
      <c r="BE200" s="10"/>
      <c r="BF200" s="10">
        <v>0</v>
      </c>
      <c r="BG200" s="10"/>
      <c r="BH200" s="10">
        <v>0</v>
      </c>
      <c r="BI200" s="10"/>
      <c r="BJ200" s="10">
        <v>0</v>
      </c>
      <c r="BK200" s="10"/>
      <c r="BL200" s="10">
        <f>SUM(T200:BK200)</f>
        <v>4980738.2336486531</v>
      </c>
      <c r="BM200" s="10"/>
      <c r="BN200" s="10"/>
      <c r="BO200" s="10"/>
      <c r="BP200" s="6">
        <f>IF(+R200-BL200+BN200&gt;0,R200-BL200+BN200,0)</f>
        <v>4916400.1419274053</v>
      </c>
      <c r="BQ200" s="10"/>
      <c r="BR200" s="9">
        <f>+BL200+BP200</f>
        <v>9897138.3755760584</v>
      </c>
      <c r="BS200" s="10"/>
      <c r="BT200" s="9">
        <f>+R200-BR200</f>
        <v>0</v>
      </c>
      <c r="BU200" s="1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10"/>
      <c r="AV201" s="10"/>
      <c r="AW201" s="10"/>
      <c r="AX201" s="10"/>
      <c r="AY201" s="10"/>
      <c r="AZ201" s="10"/>
      <c r="BA201" s="10"/>
      <c r="BB201" s="10"/>
      <c r="BC201" s="10"/>
      <c r="BD201" s="10"/>
      <c r="BE201" s="10"/>
      <c r="BF201" s="10"/>
      <c r="BG201" s="10"/>
      <c r="BH201" s="10"/>
      <c r="BI201" s="10"/>
      <c r="BJ201" s="10"/>
      <c r="BK201" s="9"/>
      <c r="BL201" s="10"/>
      <c r="BM201" s="9"/>
      <c r="BN201" s="10"/>
      <c r="BO201" s="9"/>
      <c r="BP201" s="10"/>
      <c r="BQ201" s="9"/>
      <c r="BR201" s="10"/>
      <c r="BS201" s="9"/>
      <c r="BT201" s="10"/>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05" customFormat="1">
      <c r="A202" s="84" t="s">
        <v>250</v>
      </c>
      <c r="B202" s="54"/>
      <c r="J202" s="158"/>
      <c r="L202" s="144"/>
      <c r="M202" s="13"/>
      <c r="N202" s="120"/>
      <c r="O202" s="13"/>
      <c r="P202" s="120"/>
      <c r="Q202" s="13"/>
      <c r="R202" s="120">
        <f>R200+R192+R183+R181+R179+R173+R171+R169+R162+R155+R153+R151+R149+R147+R198</f>
        <v>23448655.375576057</v>
      </c>
      <c r="S202" s="120">
        <f t="shared" ref="S202:BU202" si="32">S200+S192+S183+S181+S179+S173+S171+S169+S162+S155+S153+S151+S149+S147+S198</f>
        <v>0</v>
      </c>
      <c r="T202" s="120">
        <f t="shared" si="32"/>
        <v>413818</v>
      </c>
      <c r="U202" s="120">
        <f t="shared" si="32"/>
        <v>0</v>
      </c>
      <c r="V202" s="120">
        <f t="shared" si="32"/>
        <v>241018.53</v>
      </c>
      <c r="W202" s="120">
        <f t="shared" si="32"/>
        <v>0</v>
      </c>
      <c r="X202" s="120">
        <f t="shared" si="32"/>
        <v>405396.93</v>
      </c>
      <c r="Y202" s="120">
        <f t="shared" si="32"/>
        <v>0</v>
      </c>
      <c r="Z202" s="120">
        <f t="shared" si="32"/>
        <v>440729.95</v>
      </c>
      <c r="AA202" s="120">
        <f t="shared" si="32"/>
        <v>0</v>
      </c>
      <c r="AB202" s="120">
        <f t="shared" si="32"/>
        <v>471664.43</v>
      </c>
      <c r="AC202" s="120">
        <f t="shared" si="32"/>
        <v>0</v>
      </c>
      <c r="AD202" s="120">
        <f t="shared" si="32"/>
        <v>525025.67999999993</v>
      </c>
      <c r="AE202" s="120">
        <f t="shared" si="32"/>
        <v>0</v>
      </c>
      <c r="AF202" s="120">
        <f t="shared" si="32"/>
        <v>573248.10862083337</v>
      </c>
      <c r="AG202" s="120">
        <f t="shared" si="32"/>
        <v>0</v>
      </c>
      <c r="AH202" s="120">
        <f t="shared" si="32"/>
        <v>580523.05213836278</v>
      </c>
      <c r="AI202" s="120">
        <f t="shared" si="32"/>
        <v>0</v>
      </c>
      <c r="AJ202" s="120">
        <f t="shared" si="32"/>
        <v>551485.42641661223</v>
      </c>
      <c r="AK202" s="120">
        <f t="shared" si="32"/>
        <v>0</v>
      </c>
      <c r="AL202" s="120">
        <f t="shared" si="32"/>
        <v>1502808.93</v>
      </c>
      <c r="AM202" s="120">
        <f t="shared" si="32"/>
        <v>0</v>
      </c>
      <c r="AN202" s="120">
        <f t="shared" si="32"/>
        <v>634977.90550692461</v>
      </c>
      <c r="AO202" s="120">
        <f t="shared" si="32"/>
        <v>0</v>
      </c>
      <c r="AP202" s="120">
        <f t="shared" si="32"/>
        <v>710648.81096592033</v>
      </c>
      <c r="AQ202" s="120">
        <f t="shared" si="32"/>
        <v>0</v>
      </c>
      <c r="AR202" s="120">
        <f t="shared" si="32"/>
        <v>1272340.08</v>
      </c>
      <c r="AS202" s="120">
        <f t="shared" si="32"/>
        <v>0</v>
      </c>
      <c r="AT202" s="120">
        <f t="shared" si="32"/>
        <v>0</v>
      </c>
      <c r="AU202" s="120">
        <f t="shared" si="32"/>
        <v>0</v>
      </c>
      <c r="AV202" s="120">
        <f t="shared" si="32"/>
        <v>0</v>
      </c>
      <c r="AW202" s="120">
        <f t="shared" si="32"/>
        <v>0</v>
      </c>
      <c r="AX202" s="120">
        <f t="shared" si="32"/>
        <v>0</v>
      </c>
      <c r="AY202" s="120">
        <f t="shared" si="32"/>
        <v>0</v>
      </c>
      <c r="AZ202" s="120">
        <f t="shared" si="32"/>
        <v>0</v>
      </c>
      <c r="BA202" s="120">
        <f t="shared" si="32"/>
        <v>0</v>
      </c>
      <c r="BB202" s="120">
        <f t="shared" si="32"/>
        <v>0</v>
      </c>
      <c r="BC202" s="120">
        <f t="shared" si="32"/>
        <v>0</v>
      </c>
      <c r="BD202" s="120">
        <f t="shared" si="32"/>
        <v>0</v>
      </c>
      <c r="BE202" s="120">
        <f t="shared" si="32"/>
        <v>0</v>
      </c>
      <c r="BF202" s="120">
        <f t="shared" si="32"/>
        <v>0</v>
      </c>
      <c r="BG202" s="120">
        <f t="shared" si="32"/>
        <v>0</v>
      </c>
      <c r="BH202" s="120">
        <f t="shared" si="32"/>
        <v>0</v>
      </c>
      <c r="BI202" s="120">
        <f t="shared" si="32"/>
        <v>0</v>
      </c>
      <c r="BJ202" s="120">
        <f t="shared" si="32"/>
        <v>0</v>
      </c>
      <c r="BK202" s="120">
        <f t="shared" si="32"/>
        <v>0</v>
      </c>
      <c r="BL202" s="120">
        <f t="shared" si="32"/>
        <v>8323685.8336486528</v>
      </c>
      <c r="BM202" s="120">
        <f t="shared" si="32"/>
        <v>0</v>
      </c>
      <c r="BN202" s="120">
        <f t="shared" si="32"/>
        <v>502177</v>
      </c>
      <c r="BO202" s="120">
        <f t="shared" si="32"/>
        <v>0</v>
      </c>
      <c r="BP202" s="120">
        <f t="shared" si="32"/>
        <v>15818159.621927407</v>
      </c>
      <c r="BQ202" s="120">
        <f t="shared" si="32"/>
        <v>0</v>
      </c>
      <c r="BR202" s="120">
        <f t="shared" si="32"/>
        <v>24141845.455576058</v>
      </c>
      <c r="BS202" s="120">
        <f t="shared" si="32"/>
        <v>0</v>
      </c>
      <c r="BT202" s="120">
        <f t="shared" si="32"/>
        <v>-693190.08</v>
      </c>
      <c r="BU202" s="120">
        <f t="shared" si="32"/>
        <v>0</v>
      </c>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t="s">
        <v>192</v>
      </c>
      <c r="B204" s="31"/>
      <c r="J204" s="8"/>
      <c r="L204" s="143" t="s">
        <v>204</v>
      </c>
      <c r="M204" s="9"/>
      <c r="N204" s="9">
        <v>5395729</v>
      </c>
      <c r="O204" s="9"/>
      <c r="P204" s="9">
        <f>5463580+-N204</f>
        <v>67851</v>
      </c>
      <c r="Q204" s="9"/>
      <c r="R204" s="9">
        <f>3088152.1+236000</f>
        <v>3324152.1</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10"/>
      <c r="BM204" s="9">
        <v>2030320</v>
      </c>
      <c r="BN204" s="9">
        <v>-3324152</v>
      </c>
      <c r="BO204" s="9">
        <v>2030320</v>
      </c>
      <c r="BP204" s="6">
        <f>IF(+R204-BL204+BN204&gt;0,R204-BL204+BN204,0)</f>
        <v>0.10000000009313226</v>
      </c>
      <c r="BQ204" s="9">
        <v>2030320</v>
      </c>
      <c r="BR204" s="9">
        <f>+BL204+BP204</f>
        <v>0.10000000009313226</v>
      </c>
      <c r="BS204" s="9">
        <v>2030320</v>
      </c>
      <c r="BT204" s="6">
        <f>+R204-BR204</f>
        <v>3324152</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s="9"/>
      <c r="AJ205" s="10"/>
      <c r="AK205" s="9"/>
      <c r="AL205" s="10"/>
      <c r="AM205" s="9"/>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70" customFormat="1">
      <c r="A207" s="169" t="s">
        <v>255</v>
      </c>
      <c r="J207" s="171"/>
      <c r="L207" s="172"/>
      <c r="M207" s="173"/>
      <c r="N207" s="173"/>
      <c r="O207" s="173"/>
      <c r="P207" s="173"/>
      <c r="Q207" s="173"/>
      <c r="R207" s="168">
        <f>R34+R134+R123+R139+R202+R204</f>
        <v>161382761.47557604</v>
      </c>
      <c r="S207" s="168">
        <f t="shared" ref="S207:BT207" si="33">S34+S134+S123+S139+S202+S204</f>
        <v>0</v>
      </c>
      <c r="T207" s="168">
        <f t="shared" si="33"/>
        <v>17087218</v>
      </c>
      <c r="U207" s="168">
        <f t="shared" si="33"/>
        <v>0</v>
      </c>
      <c r="V207" s="168">
        <f t="shared" si="33"/>
        <v>43642668.530000001</v>
      </c>
      <c r="W207" s="168">
        <f t="shared" si="33"/>
        <v>0</v>
      </c>
      <c r="X207" s="168">
        <f t="shared" si="33"/>
        <v>4696471.93</v>
      </c>
      <c r="Y207" s="168">
        <f t="shared" si="33"/>
        <v>0</v>
      </c>
      <c r="Z207" s="168">
        <f t="shared" si="33"/>
        <v>440729.95</v>
      </c>
      <c r="AA207" s="168">
        <f t="shared" si="33"/>
        <v>0</v>
      </c>
      <c r="AB207" s="168">
        <f t="shared" si="33"/>
        <v>4762739.43</v>
      </c>
      <c r="AC207" s="168">
        <f t="shared" si="33"/>
        <v>0</v>
      </c>
      <c r="AD207" s="168">
        <f t="shared" si="33"/>
        <v>9142692.6799999997</v>
      </c>
      <c r="AE207" s="168">
        <f t="shared" si="33"/>
        <v>0</v>
      </c>
      <c r="AF207" s="168">
        <f t="shared" si="33"/>
        <v>573248.10862083337</v>
      </c>
      <c r="AG207" s="168">
        <f t="shared" si="33"/>
        <v>0</v>
      </c>
      <c r="AH207" s="168">
        <f t="shared" si="33"/>
        <v>1116780.7521383627</v>
      </c>
      <c r="AI207" s="168">
        <f t="shared" si="33"/>
        <v>0</v>
      </c>
      <c r="AJ207" s="168">
        <f t="shared" si="33"/>
        <v>1496281.3264166121</v>
      </c>
      <c r="AK207" s="168">
        <f t="shared" si="33"/>
        <v>0</v>
      </c>
      <c r="AL207" s="168">
        <f t="shared" si="33"/>
        <v>1780115.93</v>
      </c>
      <c r="AM207" s="168">
        <f t="shared" si="33"/>
        <v>0</v>
      </c>
      <c r="AN207" s="168">
        <f t="shared" si="33"/>
        <v>1566383.0055069246</v>
      </c>
      <c r="AO207" s="168">
        <f t="shared" si="33"/>
        <v>0</v>
      </c>
      <c r="AP207" s="168">
        <f t="shared" si="33"/>
        <v>5481999.3709659204</v>
      </c>
      <c r="AQ207" s="168">
        <f t="shared" si="33"/>
        <v>0</v>
      </c>
      <c r="AR207" s="168">
        <f t="shared" si="33"/>
        <v>2462846.2800000003</v>
      </c>
      <c r="AS207" s="168">
        <f t="shared" si="33"/>
        <v>0</v>
      </c>
      <c r="AT207" s="168">
        <f t="shared" si="33"/>
        <v>0</v>
      </c>
      <c r="AU207" s="168">
        <f t="shared" si="33"/>
        <v>0</v>
      </c>
      <c r="AV207" s="168">
        <f t="shared" si="33"/>
        <v>0</v>
      </c>
      <c r="AW207" s="168">
        <f t="shared" si="33"/>
        <v>0</v>
      </c>
      <c r="AX207" s="168">
        <f t="shared" si="33"/>
        <v>0</v>
      </c>
      <c r="AY207" s="168">
        <f t="shared" si="33"/>
        <v>0</v>
      </c>
      <c r="AZ207" s="168">
        <f t="shared" si="33"/>
        <v>0</v>
      </c>
      <c r="BA207" s="168">
        <f t="shared" si="33"/>
        <v>0</v>
      </c>
      <c r="BB207" s="168">
        <f t="shared" si="33"/>
        <v>0</v>
      </c>
      <c r="BC207" s="168">
        <f t="shared" si="33"/>
        <v>0</v>
      </c>
      <c r="BD207" s="168">
        <f t="shared" si="33"/>
        <v>0</v>
      </c>
      <c r="BE207" s="168">
        <f t="shared" si="33"/>
        <v>0</v>
      </c>
      <c r="BF207" s="168">
        <f t="shared" si="33"/>
        <v>0</v>
      </c>
      <c r="BG207" s="168">
        <f t="shared" si="33"/>
        <v>0</v>
      </c>
      <c r="BH207" s="168">
        <f t="shared" si="33"/>
        <v>0</v>
      </c>
      <c r="BI207" s="168">
        <f t="shared" si="33"/>
        <v>0</v>
      </c>
      <c r="BJ207" s="168">
        <f t="shared" si="33"/>
        <v>0</v>
      </c>
      <c r="BK207" s="168">
        <f t="shared" si="33"/>
        <v>0</v>
      </c>
      <c r="BL207" s="168">
        <f t="shared" si="33"/>
        <v>94250175.29364866</v>
      </c>
      <c r="BM207" s="168">
        <f t="shared" si="33"/>
        <v>2030320</v>
      </c>
      <c r="BN207" s="168">
        <f t="shared" si="33"/>
        <v>-390030</v>
      </c>
      <c r="BO207" s="168">
        <f t="shared" si="33"/>
        <v>2030320</v>
      </c>
      <c r="BP207" s="168">
        <f t="shared" si="33"/>
        <v>66933568.811927401</v>
      </c>
      <c r="BQ207" s="168">
        <f t="shared" si="33"/>
        <v>2030320</v>
      </c>
      <c r="BR207" s="168">
        <f t="shared" si="33"/>
        <v>161183744.10557607</v>
      </c>
      <c r="BS207" s="168">
        <f t="shared" si="33"/>
        <v>2030320</v>
      </c>
      <c r="BT207" s="168">
        <f t="shared" si="33"/>
        <v>199017.37000000011</v>
      </c>
      <c r="BU207" s="173"/>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253</v>
      </c>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f>BR207/B4</f>
        <v>342944.1363948427</v>
      </c>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8" t="s">
        <v>221</v>
      </c>
      <c r="B210" s="31"/>
      <c r="J210" s="8"/>
      <c r="L210" s="143" t="s">
        <v>204</v>
      </c>
      <c r="M210" s="9"/>
      <c r="N210" s="9">
        <v>0</v>
      </c>
      <c r="O210" s="9"/>
      <c r="P210" s="9">
        <f>21557+23365.91</f>
        <v>44922.91</v>
      </c>
      <c r="Q210" s="9"/>
      <c r="R210" s="9">
        <v>-6078</v>
      </c>
      <c r="S210" s="9"/>
      <c r="T210" s="9"/>
      <c r="U210" s="9"/>
      <c r="V210" s="9"/>
      <c r="W210" s="9"/>
      <c r="X210" s="9"/>
      <c r="Y210" s="9"/>
      <c r="Z210" s="9">
        <v>-21556.400000000001</v>
      </c>
      <c r="AA210" s="9"/>
      <c r="AB210" s="9">
        <f>43113+23365.91</f>
        <v>66478.91</v>
      </c>
      <c r="AC210" s="9"/>
      <c r="AD210" s="9">
        <v>-51000</v>
      </c>
      <c r="AE210" s="9"/>
      <c r="AF210" s="9">
        <v>0</v>
      </c>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-6077.489999999998</v>
      </c>
      <c r="BM210" s="9"/>
      <c r="BN210" s="10">
        <v>0</v>
      </c>
      <c r="BO210" s="10"/>
      <c r="BP210" s="10">
        <f>+R210-BL210+BN210</f>
        <v>-0.51000000000203727</v>
      </c>
      <c r="BQ210" s="10"/>
      <c r="BR210" s="9">
        <f>+BL210+BP210</f>
        <v>-6078</v>
      </c>
      <c r="BS210" s="10"/>
      <c r="BT210" s="9">
        <f>+R210-BR210</f>
        <v>0</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252</v>
      </c>
      <c r="B212" s="31"/>
      <c r="J212" s="8"/>
      <c r="L212" s="143"/>
      <c r="M212" s="9"/>
      <c r="N212" s="10"/>
      <c r="O212" s="9"/>
      <c r="P212" s="10"/>
      <c r="Q212" s="9"/>
      <c r="R212" s="10">
        <v>0</v>
      </c>
      <c r="S212" s="9"/>
      <c r="T212" s="10"/>
      <c r="U212" s="9"/>
      <c r="V212" s="10"/>
      <c r="W212" s="9"/>
      <c r="X212" s="10"/>
      <c r="Y212" s="9"/>
      <c r="Z212" s="10">
        <v>0</v>
      </c>
      <c r="AA212" s="9"/>
      <c r="AB212" s="10">
        <v>0</v>
      </c>
      <c r="AC212" s="9"/>
      <c r="AD212" s="10">
        <v>0</v>
      </c>
      <c r="AE212" s="9"/>
      <c r="AF212" s="10">
        <v>0</v>
      </c>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f>SUM(T212:BK212)</f>
        <v>0</v>
      </c>
      <c r="BM212" s="9"/>
      <c r="BN212" s="10">
        <v>0</v>
      </c>
      <c r="BO212" s="9"/>
      <c r="BP212" s="10">
        <f>+R212-BL212+BN212</f>
        <v>0</v>
      </c>
      <c r="BQ212" s="9"/>
      <c r="BR212" s="9">
        <f>+BL212+BP212</f>
        <v>0</v>
      </c>
      <c r="BS212" s="9"/>
      <c r="BT212" s="10">
        <f>SUM(BT209:BT211)</f>
        <v>0</v>
      </c>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271</v>
      </c>
      <c r="B214" s="31"/>
      <c r="J214" s="8"/>
      <c r="L214" s="143"/>
      <c r="M214" s="9"/>
      <c r="N214" s="10"/>
      <c r="O214" s="9"/>
      <c r="P214" s="10"/>
      <c r="Q214" s="9"/>
      <c r="R214" s="10">
        <v>-54879</v>
      </c>
      <c r="S214" s="9"/>
      <c r="T214" s="10"/>
      <c r="U214" s="9"/>
      <c r="V214" s="10"/>
      <c r="W214" s="9"/>
      <c r="X214" s="10"/>
      <c r="Y214" s="9"/>
      <c r="Z214" s="10"/>
      <c r="AA214" s="9"/>
      <c r="AB214" s="10">
        <v>-67129</v>
      </c>
      <c r="AC214" s="9"/>
      <c r="AD214" s="10">
        <v>12250</v>
      </c>
      <c r="AE214" s="9"/>
      <c r="AF214" s="21">
        <v>-26420</v>
      </c>
      <c r="AG214" s="9"/>
      <c r="AH214" s="10">
        <v>-23945</v>
      </c>
      <c r="AI214" s="9"/>
      <c r="AJ214" s="10"/>
      <c r="AK214" s="9"/>
      <c r="AL214" s="10"/>
      <c r="AM214" s="9"/>
      <c r="AN214" s="10">
        <v>36835</v>
      </c>
      <c r="AO214" s="9"/>
      <c r="AP214" s="10">
        <v>-36835</v>
      </c>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f>SUM(T214:BK214)</f>
        <v>-105244</v>
      </c>
      <c r="BM214" s="9"/>
      <c r="BN214" s="10"/>
      <c r="BO214" s="9"/>
      <c r="BP214" s="10">
        <v>0</v>
      </c>
      <c r="BQ214" s="9"/>
      <c r="BR214" s="9">
        <f>+BL214+BP214</f>
        <v>-105244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254</v>
      </c>
      <c r="B216" s="31"/>
      <c r="J216" s="8"/>
      <c r="L216" s="143"/>
      <c r="M216" s="9"/>
      <c r="N216" s="10"/>
      <c r="O216" s="9"/>
      <c r="P216" s="10"/>
      <c r="Q216" s="9"/>
      <c r="R216" s="10">
        <f t="shared" ref="R216:BU216" si="34">R207+R210+R212+R214</f>
        <v>161321804.47557604</v>
      </c>
      <c r="S216" s="10">
        <f t="shared" si="34"/>
        <v>0</v>
      </c>
      <c r="T216" s="10">
        <f t="shared" si="34"/>
        <v>17087218</v>
      </c>
      <c r="U216" s="10">
        <f t="shared" si="34"/>
        <v>0</v>
      </c>
      <c r="V216" s="10">
        <f t="shared" si="34"/>
        <v>43642668.530000001</v>
      </c>
      <c r="W216" s="10">
        <f t="shared" si="34"/>
        <v>0</v>
      </c>
      <c r="X216" s="10">
        <f t="shared" si="34"/>
        <v>4696471.93</v>
      </c>
      <c r="Y216" s="10">
        <f t="shared" si="34"/>
        <v>0</v>
      </c>
      <c r="Z216" s="10">
        <f t="shared" si="34"/>
        <v>419173.55</v>
      </c>
      <c r="AA216" s="10">
        <f t="shared" si="34"/>
        <v>0</v>
      </c>
      <c r="AB216" s="10">
        <f t="shared" si="34"/>
        <v>4762089.34</v>
      </c>
      <c r="AC216" s="10">
        <f t="shared" si="34"/>
        <v>0</v>
      </c>
      <c r="AD216" s="10">
        <f t="shared" si="34"/>
        <v>9103942.6799999997</v>
      </c>
      <c r="AE216" s="10">
        <f t="shared" si="34"/>
        <v>0</v>
      </c>
      <c r="AF216" s="10">
        <f t="shared" si="34"/>
        <v>546828.10862083337</v>
      </c>
      <c r="AG216" s="10">
        <f t="shared" si="34"/>
        <v>0</v>
      </c>
      <c r="AH216" s="10">
        <f t="shared" si="34"/>
        <v>1092835.7521383627</v>
      </c>
      <c r="AI216" s="10">
        <f t="shared" si="34"/>
        <v>0</v>
      </c>
      <c r="AJ216" s="10">
        <f t="shared" si="34"/>
        <v>1496281.3264166121</v>
      </c>
      <c r="AK216" s="10"/>
      <c r="AL216" s="10">
        <f t="shared" si="34"/>
        <v>1780115.93</v>
      </c>
      <c r="AM216" s="10"/>
      <c r="AN216" s="10">
        <f t="shared" si="34"/>
        <v>1603218.0055069246</v>
      </c>
      <c r="AO216" s="10">
        <f t="shared" si="34"/>
        <v>0</v>
      </c>
      <c r="AP216" s="10">
        <f t="shared" si="34"/>
        <v>5445164.3709659204</v>
      </c>
      <c r="AQ216" s="10">
        <f t="shared" si="34"/>
        <v>0</v>
      </c>
      <c r="AR216" s="10">
        <f t="shared" si="34"/>
        <v>2462846.2800000003</v>
      </c>
      <c r="AS216" s="10">
        <f t="shared" si="34"/>
        <v>0</v>
      </c>
      <c r="AT216" s="10">
        <f t="shared" si="34"/>
        <v>0</v>
      </c>
      <c r="AU216" s="10">
        <f t="shared" si="34"/>
        <v>0</v>
      </c>
      <c r="AV216" s="10">
        <f t="shared" si="34"/>
        <v>0</v>
      </c>
      <c r="AW216" s="10">
        <f t="shared" si="34"/>
        <v>0</v>
      </c>
      <c r="AX216" s="10">
        <f t="shared" si="34"/>
        <v>0</v>
      </c>
      <c r="AY216" s="10">
        <f t="shared" si="34"/>
        <v>0</v>
      </c>
      <c r="AZ216" s="10">
        <f t="shared" si="34"/>
        <v>0</v>
      </c>
      <c r="BA216" s="10">
        <f t="shared" si="34"/>
        <v>0</v>
      </c>
      <c r="BB216" s="10">
        <f t="shared" si="34"/>
        <v>0</v>
      </c>
      <c r="BC216" s="10">
        <f t="shared" si="34"/>
        <v>0</v>
      </c>
      <c r="BD216" s="10">
        <f t="shared" si="34"/>
        <v>0</v>
      </c>
      <c r="BE216" s="10">
        <f t="shared" si="34"/>
        <v>0</v>
      </c>
      <c r="BF216" s="10">
        <f t="shared" si="34"/>
        <v>0</v>
      </c>
      <c r="BG216" s="10">
        <f t="shared" si="34"/>
        <v>0</v>
      </c>
      <c r="BH216" s="10">
        <f t="shared" si="34"/>
        <v>0</v>
      </c>
      <c r="BI216" s="10">
        <f t="shared" si="34"/>
        <v>0</v>
      </c>
      <c r="BJ216" s="10">
        <f t="shared" si="34"/>
        <v>0</v>
      </c>
      <c r="BK216" s="10">
        <f t="shared" si="34"/>
        <v>0</v>
      </c>
      <c r="BL216" s="10">
        <f t="shared" si="34"/>
        <v>94138853.803648666</v>
      </c>
      <c r="BM216" s="10">
        <f t="shared" si="34"/>
        <v>2030320</v>
      </c>
      <c r="BN216" s="10">
        <f>BN207+BN210+BN212+BN214</f>
        <v>-390030</v>
      </c>
      <c r="BO216" s="10">
        <f t="shared" si="34"/>
        <v>2030320</v>
      </c>
      <c r="BP216" s="10">
        <f t="shared" si="34"/>
        <v>66933568.301927403</v>
      </c>
      <c r="BQ216" s="10">
        <f t="shared" si="34"/>
        <v>2030320</v>
      </c>
      <c r="BR216" s="10">
        <f t="shared" si="34"/>
        <v>161072422.10557607</v>
      </c>
      <c r="BS216" s="10">
        <f t="shared" si="34"/>
        <v>2030320</v>
      </c>
      <c r="BT216" s="10">
        <f t="shared" si="34"/>
        <v>199017.37000000011</v>
      </c>
      <c r="BU216" s="10">
        <f t="shared" si="34"/>
        <v>0</v>
      </c>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c r="C218"/>
      <c r="D218"/>
      <c r="E218"/>
      <c r="F218"/>
      <c r="G218"/>
      <c r="H218"/>
      <c r="I218"/>
      <c r="J218" s="49"/>
      <c r="K218"/>
      <c r="L218" s="134"/>
      <c r="M218" s="6"/>
      <c r="O218" s="6"/>
      <c r="Q218" s="6"/>
      <c r="S218" s="6"/>
      <c r="T218" s="6"/>
      <c r="U218" s="6"/>
      <c r="V218" s="6"/>
      <c r="X218" s="6"/>
      <c r="Z218" s="6"/>
      <c r="AB218" s="6"/>
      <c r="AD218" s="6"/>
      <c r="BJ218" s="6"/>
      <c r="BK218" s="6"/>
      <c r="BM218" s="6"/>
      <c r="BN218" s="6"/>
      <c r="BO218" s="6"/>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ht="15.75">
      <c r="A219" s="131" t="s">
        <v>201</v>
      </c>
      <c r="B219" s="132"/>
      <c r="C219" s="119"/>
      <c r="D219" s="119"/>
      <c r="E219" s="119"/>
      <c r="F219" s="119"/>
      <c r="G219" s="119"/>
      <c r="H219" s="119"/>
      <c r="I219" s="119"/>
      <c r="J219" s="161"/>
      <c r="K219" s="119"/>
      <c r="L219" s="148"/>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
      <c r="BS219" s="133"/>
      <c r="BT219" s="133"/>
      <c r="BU219" s="133"/>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c r="A220" s="21" t="s">
        <v>200</v>
      </c>
      <c r="C220"/>
      <c r="D220"/>
      <c r="E220"/>
      <c r="F220"/>
      <c r="G220"/>
      <c r="H220"/>
      <c r="I220"/>
      <c r="J220" s="49"/>
      <c r="K220"/>
      <c r="L220" s="134" t="s">
        <v>205</v>
      </c>
      <c r="M220" s="6"/>
      <c r="N220" s="6">
        <v>0</v>
      </c>
      <c r="O220" s="6"/>
      <c r="P220" s="6">
        <v>220000</v>
      </c>
      <c r="Q220" s="6"/>
      <c r="R220" s="9">
        <v>0</v>
      </c>
      <c r="S220" s="6"/>
      <c r="T220" s="22"/>
      <c r="U220" s="6"/>
      <c r="V220" s="22"/>
      <c r="X220" s="22">
        <v>15000</v>
      </c>
      <c r="Z220" s="22">
        <v>0</v>
      </c>
      <c r="AB220" s="22"/>
      <c r="AD220" s="22"/>
      <c r="AF220" s="22"/>
      <c r="AH220" s="22"/>
      <c r="AJ220" s="22"/>
      <c r="AL220" s="22"/>
      <c r="AN220" s="22"/>
      <c r="AP220" s="22"/>
      <c r="AR220" s="22"/>
      <c r="AT220" s="22"/>
      <c r="AU220" s="22"/>
      <c r="AV220" s="22"/>
      <c r="AW220" s="22"/>
      <c r="AX220" s="22"/>
      <c r="AY220" s="22"/>
      <c r="AZ220" s="22"/>
      <c r="BA220" s="22"/>
      <c r="BB220" s="22"/>
      <c r="BC220" s="22"/>
      <c r="BD220" s="22"/>
      <c r="BE220" s="22"/>
      <c r="BF220" s="22"/>
      <c r="BG220" s="22"/>
      <c r="BH220" s="22"/>
      <c r="BI220" s="22"/>
      <c r="BJ220" s="22"/>
      <c r="BK220" s="6"/>
      <c r="BL220" s="9">
        <f>SUM(T220:BK220)</f>
        <v>15000</v>
      </c>
      <c r="BM220" s="6"/>
      <c r="BN220" s="22"/>
      <c r="BO220" s="6"/>
      <c r="BP220" s="9">
        <v>0</v>
      </c>
      <c r="BR220" s="9">
        <f>+BP220+BL220</f>
        <v>15000</v>
      </c>
      <c r="BT220" s="9">
        <v>0</v>
      </c>
      <c r="BU220" s="6"/>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56" t="s">
        <v>32</v>
      </c>
      <c r="C221"/>
      <c r="D221"/>
      <c r="E221"/>
      <c r="F221"/>
      <c r="G221"/>
      <c r="H221"/>
      <c r="I221"/>
      <c r="J221" s="49"/>
      <c r="K221"/>
      <c r="L221" s="134" t="s">
        <v>205</v>
      </c>
      <c r="M221" s="6"/>
      <c r="N221" s="6">
        <v>0</v>
      </c>
      <c r="O221" s="6"/>
      <c r="P221" s="6">
        <v>30000</v>
      </c>
      <c r="Q221" s="6"/>
      <c r="R221" s="9">
        <v>0</v>
      </c>
      <c r="S221" s="6"/>
      <c r="T221" s="22"/>
      <c r="U221" s="6"/>
      <c r="V221" s="22"/>
      <c r="X221" s="22">
        <v>0</v>
      </c>
      <c r="Z221" s="22"/>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0</v>
      </c>
      <c r="BM221" s="6"/>
      <c r="BN221" s="22"/>
      <c r="BO221" s="6"/>
      <c r="BP221" s="9">
        <v>0</v>
      </c>
      <c r="BR221" s="9">
        <f>+BP221+BL221</f>
        <v>0</v>
      </c>
      <c r="BT221" s="9">
        <f>+R221-BR221</f>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28</v>
      </c>
      <c r="C222"/>
      <c r="D222"/>
      <c r="E222"/>
      <c r="F222"/>
      <c r="G222"/>
      <c r="H222"/>
      <c r="I222"/>
      <c r="J222" s="49"/>
      <c r="K222"/>
      <c r="L222" s="134" t="s">
        <v>205</v>
      </c>
      <c r="M222" s="6"/>
      <c r="N222" s="6">
        <v>0</v>
      </c>
      <c r="O222" s="6"/>
      <c r="P222" s="6">
        <v>35000</v>
      </c>
      <c r="Q222" s="6"/>
      <c r="R222" s="9">
        <v>0</v>
      </c>
      <c r="S222" s="6"/>
      <c r="T222" s="22"/>
      <c r="U222" s="6"/>
      <c r="V222" s="22"/>
      <c r="X222" s="22">
        <v>0</v>
      </c>
      <c r="Z222" s="22">
        <v>100</v>
      </c>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100</v>
      </c>
      <c r="BM222" s="6"/>
      <c r="BN222" s="22"/>
      <c r="BO222" s="6"/>
      <c r="BP222" s="9">
        <v>0</v>
      </c>
      <c r="BR222" s="9">
        <f>+BP222+BL222</f>
        <v>100</v>
      </c>
      <c r="BT222" s="9">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33</v>
      </c>
      <c r="C223"/>
      <c r="D223"/>
      <c r="E223"/>
      <c r="F223"/>
      <c r="G223"/>
      <c r="H223"/>
      <c r="I223"/>
      <c r="J223" s="49"/>
      <c r="K223"/>
      <c r="L223" s="134" t="s">
        <v>205</v>
      </c>
      <c r="M223" s="6"/>
      <c r="N223" s="6">
        <v>0</v>
      </c>
      <c r="O223" s="6"/>
      <c r="P223" s="6">
        <v>20000</v>
      </c>
      <c r="Q223" s="6"/>
      <c r="R223" s="9">
        <v>0</v>
      </c>
      <c r="S223" s="6"/>
      <c r="T223" s="22"/>
      <c r="U223" s="6"/>
      <c r="V223" s="22"/>
      <c r="X223" s="22"/>
      <c r="Z223" s="22"/>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0</v>
      </c>
      <c r="BM223" s="6"/>
      <c r="BN223" s="22"/>
      <c r="BO223" s="6"/>
      <c r="BP223" s="9">
        <v>0</v>
      </c>
      <c r="BR223" s="9">
        <f>+BP223+BL223</f>
        <v>0</v>
      </c>
      <c r="BT223" s="9">
        <f>+R223-BR223</f>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ustomFormat="1">
      <c r="A224" s="56" t="s">
        <v>35</v>
      </c>
      <c r="B224" s="4"/>
      <c r="R224">
        <v>0</v>
      </c>
    </row>
    <row r="225" spans="1:122" s="105" customFormat="1" ht="13.5" thickBot="1">
      <c r="A225" s="128" t="s">
        <v>267</v>
      </c>
      <c r="B225" s="54"/>
      <c r="J225" s="158"/>
      <c r="L225" s="144"/>
      <c r="M225" s="13"/>
      <c r="N225" s="121">
        <f>SUM(N220:N224)</f>
        <v>0</v>
      </c>
      <c r="O225" s="13"/>
      <c r="P225" s="121">
        <f>SUM(P220:P224)</f>
        <v>305000</v>
      </c>
      <c r="Q225" s="13"/>
      <c r="R225" s="121">
        <f>SUM(R220:R224)</f>
        <v>0</v>
      </c>
      <c r="S225" s="13"/>
      <c r="T225" s="121">
        <f>SUM(T220:T224)</f>
        <v>0</v>
      </c>
      <c r="U225" s="120"/>
      <c r="V225" s="121">
        <f>SUM(V220:V224)</f>
        <v>0</v>
      </c>
      <c r="W225" s="120"/>
      <c r="X225" s="121">
        <f>SUM(X220:X224)</f>
        <v>15000</v>
      </c>
      <c r="Y225" s="120"/>
      <c r="Z225" s="121">
        <f>SUM(Z220:Z224)</f>
        <v>100</v>
      </c>
      <c r="AA225" s="121">
        <f>SUM(AA220:AA224)</f>
        <v>0</v>
      </c>
      <c r="AB225" s="121">
        <f>SUM(AB220:AB224)</f>
        <v>0</v>
      </c>
      <c r="AC225" s="121">
        <f>SUM(AC220:AC224)</f>
        <v>0</v>
      </c>
      <c r="AD225" s="121">
        <f>SUM(AD220:AD224)</f>
        <v>0</v>
      </c>
      <c r="AE225" s="120"/>
      <c r="AF225" s="121"/>
      <c r="AG225" s="120"/>
      <c r="AH225" s="121"/>
      <c r="AI225" s="120"/>
      <c r="AJ225" s="121"/>
      <c r="AK225" s="120"/>
      <c r="AL225" s="121"/>
      <c r="AM225" s="120"/>
      <c r="AN225" s="121"/>
      <c r="AO225" s="120"/>
      <c r="AP225" s="121"/>
      <c r="AQ225" s="120"/>
      <c r="AR225" s="121"/>
      <c r="AS225" s="120"/>
      <c r="AT225" s="121"/>
      <c r="AU225" s="120"/>
      <c r="AV225" s="121"/>
      <c r="AW225" s="120"/>
      <c r="AX225" s="121"/>
      <c r="AY225" s="120"/>
      <c r="AZ225" s="121"/>
      <c r="BA225" s="120"/>
      <c r="BB225" s="121"/>
      <c r="BC225" s="120"/>
      <c r="BD225" s="121"/>
      <c r="BE225" s="120"/>
      <c r="BF225" s="121"/>
      <c r="BG225" s="120"/>
      <c r="BH225" s="121"/>
      <c r="BI225" s="120"/>
      <c r="BJ225" s="121"/>
      <c r="BK225" s="13"/>
      <c r="BL225" s="121">
        <f>SUM(T225:BK225)</f>
        <v>15100</v>
      </c>
      <c r="BM225" s="13"/>
      <c r="BN225" s="121"/>
      <c r="BO225" s="13"/>
      <c r="BP225" s="121">
        <f>SUM(BP219:BP224)</f>
        <v>0</v>
      </c>
      <c r="BQ225" s="13"/>
      <c r="BR225" s="121">
        <f>+BP225+BL225</f>
        <v>15100</v>
      </c>
      <c r="BS225" s="13"/>
      <c r="BT225" s="121">
        <f>SUM(BT220:BT224)</f>
        <v>0</v>
      </c>
      <c r="BU225" s="120"/>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ht="13.5" thickTop="1">
      <c r="C226"/>
      <c r="D226"/>
      <c r="E226"/>
      <c r="F226"/>
      <c r="G226"/>
      <c r="H226"/>
      <c r="I226"/>
      <c r="J226" s="49"/>
      <c r="K226"/>
      <c r="L226" s="134"/>
      <c r="M226" s="6"/>
      <c r="O226" s="6"/>
      <c r="Q226" s="6"/>
      <c r="S226" s="6"/>
      <c r="T226" s="22"/>
      <c r="U226" s="6"/>
      <c r="V226" s="22"/>
      <c r="X226" s="22"/>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22"/>
      <c r="BM226" s="6"/>
      <c r="BN226" s="22"/>
      <c r="BO226" s="6"/>
      <c r="BR226" s="58"/>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9"/>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22"/>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s="132" customFormat="1" ht="16.5" thickBot="1">
      <c r="A229" s="131" t="s">
        <v>268</v>
      </c>
      <c r="C229" s="119"/>
      <c r="D229" s="119"/>
      <c r="E229" s="119"/>
      <c r="F229" s="119"/>
      <c r="G229" s="119"/>
      <c r="H229" s="119"/>
      <c r="I229" s="119"/>
      <c r="J229" s="161"/>
      <c r="K229" s="119"/>
      <c r="L229" s="148"/>
      <c r="M229" s="133"/>
      <c r="N229" s="121" t="e">
        <f>#REF!+N225</f>
        <v>#REF!</v>
      </c>
      <c r="O229" s="121"/>
      <c r="P229" s="121" t="e">
        <f>#REF!+P225</f>
        <v>#REF!</v>
      </c>
      <c r="Q229" s="121"/>
      <c r="R229" s="121">
        <f t="shared" ref="R229:AW229" si="35">R207+R225</f>
        <v>161382761.47557604</v>
      </c>
      <c r="S229" s="121">
        <f t="shared" si="35"/>
        <v>0</v>
      </c>
      <c r="T229" s="121">
        <f t="shared" si="35"/>
        <v>17087218</v>
      </c>
      <c r="U229" s="121">
        <f t="shared" si="35"/>
        <v>0</v>
      </c>
      <c r="V229" s="121">
        <f t="shared" si="35"/>
        <v>43642668.530000001</v>
      </c>
      <c r="W229" s="121">
        <f t="shared" si="35"/>
        <v>0</v>
      </c>
      <c r="X229" s="121">
        <f t="shared" si="35"/>
        <v>4711471.93</v>
      </c>
      <c r="Y229" s="121">
        <f t="shared" si="35"/>
        <v>0</v>
      </c>
      <c r="Z229" s="121">
        <f t="shared" si="35"/>
        <v>440829.95</v>
      </c>
      <c r="AA229" s="121">
        <f t="shared" si="35"/>
        <v>0</v>
      </c>
      <c r="AB229" s="121">
        <f t="shared" si="35"/>
        <v>4762739.43</v>
      </c>
      <c r="AC229" s="121">
        <f t="shared" si="35"/>
        <v>0</v>
      </c>
      <c r="AD229" s="121">
        <f t="shared" si="35"/>
        <v>9142692.6799999997</v>
      </c>
      <c r="AE229" s="121">
        <f t="shared" si="35"/>
        <v>0</v>
      </c>
      <c r="AF229" s="121">
        <f t="shared" si="35"/>
        <v>573248.10862083337</v>
      </c>
      <c r="AG229" s="121">
        <f t="shared" si="35"/>
        <v>0</v>
      </c>
      <c r="AH229" s="121">
        <f t="shared" si="35"/>
        <v>1116780.7521383627</v>
      </c>
      <c r="AI229" s="121">
        <f t="shared" si="35"/>
        <v>0</v>
      </c>
      <c r="AJ229" s="121">
        <f t="shared" si="35"/>
        <v>1496281.3264166121</v>
      </c>
      <c r="AK229" s="121">
        <f t="shared" si="35"/>
        <v>0</v>
      </c>
      <c r="AL229" s="121">
        <f t="shared" si="35"/>
        <v>1780115.93</v>
      </c>
      <c r="AM229" s="121">
        <f t="shared" si="35"/>
        <v>0</v>
      </c>
      <c r="AN229" s="121">
        <f t="shared" si="35"/>
        <v>1566383.0055069246</v>
      </c>
      <c r="AO229" s="121">
        <f t="shared" si="35"/>
        <v>0</v>
      </c>
      <c r="AP229" s="121">
        <f t="shared" si="35"/>
        <v>5481999.3709659204</v>
      </c>
      <c r="AQ229" s="121">
        <f t="shared" si="35"/>
        <v>0</v>
      </c>
      <c r="AR229" s="121">
        <f t="shared" si="35"/>
        <v>2462846.2800000003</v>
      </c>
      <c r="AS229" s="121">
        <f t="shared" si="35"/>
        <v>0</v>
      </c>
      <c r="AT229" s="121">
        <f t="shared" si="35"/>
        <v>0</v>
      </c>
      <c r="AU229" s="121">
        <f t="shared" si="35"/>
        <v>0</v>
      </c>
      <c r="AV229" s="121">
        <f t="shared" si="35"/>
        <v>0</v>
      </c>
      <c r="AW229" s="121">
        <f t="shared" si="35"/>
        <v>0</v>
      </c>
      <c r="AX229" s="121">
        <f t="shared" ref="AX229:BT229" si="36">AX207+AX225</f>
        <v>0</v>
      </c>
      <c r="AY229" s="121">
        <f t="shared" si="36"/>
        <v>0</v>
      </c>
      <c r="AZ229" s="121">
        <f t="shared" si="36"/>
        <v>0</v>
      </c>
      <c r="BA229" s="121">
        <f t="shared" si="36"/>
        <v>0</v>
      </c>
      <c r="BB229" s="121">
        <f t="shared" si="36"/>
        <v>0</v>
      </c>
      <c r="BC229" s="121">
        <f t="shared" si="36"/>
        <v>0</v>
      </c>
      <c r="BD229" s="121">
        <f t="shared" si="36"/>
        <v>0</v>
      </c>
      <c r="BE229" s="121">
        <f t="shared" si="36"/>
        <v>0</v>
      </c>
      <c r="BF229" s="121">
        <f t="shared" si="36"/>
        <v>0</v>
      </c>
      <c r="BG229" s="121">
        <f t="shared" si="36"/>
        <v>0</v>
      </c>
      <c r="BH229" s="121">
        <f t="shared" si="36"/>
        <v>0</v>
      </c>
      <c r="BI229" s="121">
        <f t="shared" si="36"/>
        <v>0</v>
      </c>
      <c r="BJ229" s="121">
        <f t="shared" si="36"/>
        <v>0</v>
      </c>
      <c r="BK229" s="121">
        <f t="shared" si="36"/>
        <v>0</v>
      </c>
      <c r="BL229" s="121">
        <f t="shared" si="36"/>
        <v>94265275.29364866</v>
      </c>
      <c r="BM229" s="121">
        <f t="shared" si="36"/>
        <v>2030320</v>
      </c>
      <c r="BN229" s="121">
        <f t="shared" si="36"/>
        <v>-390030</v>
      </c>
      <c r="BO229" s="121">
        <f t="shared" si="36"/>
        <v>2030320</v>
      </c>
      <c r="BP229" s="121">
        <f t="shared" si="36"/>
        <v>66933568.811927401</v>
      </c>
      <c r="BQ229" s="121">
        <f t="shared" si="36"/>
        <v>2030320</v>
      </c>
      <c r="BR229" s="121">
        <f t="shared" si="36"/>
        <v>161198844.10557607</v>
      </c>
      <c r="BS229" s="121">
        <f t="shared" si="36"/>
        <v>2030320</v>
      </c>
      <c r="BT229" s="121">
        <f t="shared" si="36"/>
        <v>199017.37000000011</v>
      </c>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5"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s="132" customFormat="1" ht="16.5" thickBot="1">
      <c r="A231" s="131" t="s">
        <v>272</v>
      </c>
      <c r="C231" s="119"/>
      <c r="D231" s="119"/>
      <c r="E231" s="119"/>
      <c r="F231" s="119"/>
      <c r="G231" s="119"/>
      <c r="H231" s="119"/>
      <c r="I231" s="119"/>
      <c r="J231" s="161"/>
      <c r="K231" s="119"/>
      <c r="L231" s="148"/>
      <c r="M231" s="133"/>
      <c r="N231" s="121" t="e">
        <f>#REF!+N227</f>
        <v>#REF!</v>
      </c>
      <c r="O231" s="121"/>
      <c r="P231" s="121" t="e">
        <f>#REF!+P227</f>
        <v>#REF!</v>
      </c>
      <c r="Q231" s="121"/>
      <c r="R231" s="121">
        <f>R216+R225</f>
        <v>161321804.47557604</v>
      </c>
      <c r="S231" s="121">
        <f>S216+S225</f>
        <v>0</v>
      </c>
      <c r="T231" s="121">
        <f>T216+T225</f>
        <v>17087218</v>
      </c>
      <c r="U231" s="121">
        <f>U216+U225</f>
        <v>0</v>
      </c>
      <c r="V231" s="121">
        <f>V216+V225</f>
        <v>43642668.530000001</v>
      </c>
      <c r="W231" s="121">
        <f t="shared" ref="W231:BT231" si="37">W216+W225</f>
        <v>0</v>
      </c>
      <c r="X231" s="121">
        <f t="shared" si="37"/>
        <v>4711471.93</v>
      </c>
      <c r="Y231" s="121">
        <f t="shared" si="37"/>
        <v>0</v>
      </c>
      <c r="Z231" s="121">
        <f t="shared" si="37"/>
        <v>419273.55</v>
      </c>
      <c r="AA231" s="121">
        <f t="shared" si="37"/>
        <v>0</v>
      </c>
      <c r="AB231" s="121">
        <f t="shared" si="37"/>
        <v>4762089.34</v>
      </c>
      <c r="AC231" s="121">
        <f t="shared" si="37"/>
        <v>0</v>
      </c>
      <c r="AD231" s="121">
        <f t="shared" si="37"/>
        <v>9103942.6799999997</v>
      </c>
      <c r="AE231" s="121">
        <f t="shared" si="37"/>
        <v>0</v>
      </c>
      <c r="AF231" s="121">
        <f t="shared" si="37"/>
        <v>546828.10862083337</v>
      </c>
      <c r="AG231" s="121">
        <f t="shared" si="37"/>
        <v>0</v>
      </c>
      <c r="AH231" s="121">
        <f t="shared" si="37"/>
        <v>1092835.7521383627</v>
      </c>
      <c r="AI231" s="121">
        <f t="shared" si="37"/>
        <v>0</v>
      </c>
      <c r="AJ231" s="121">
        <f t="shared" si="37"/>
        <v>1496281.3264166121</v>
      </c>
      <c r="AK231" s="121">
        <f t="shared" si="37"/>
        <v>0</v>
      </c>
      <c r="AL231" s="121">
        <f t="shared" si="37"/>
        <v>1780115.93</v>
      </c>
      <c r="AM231" s="121">
        <f t="shared" si="37"/>
        <v>0</v>
      </c>
      <c r="AN231" s="121">
        <f t="shared" si="37"/>
        <v>1603218.0055069246</v>
      </c>
      <c r="AO231" s="121">
        <f t="shared" si="37"/>
        <v>0</v>
      </c>
      <c r="AP231" s="121">
        <f t="shared" si="37"/>
        <v>5445164.3709659204</v>
      </c>
      <c r="AQ231" s="121">
        <f t="shared" si="37"/>
        <v>0</v>
      </c>
      <c r="AR231" s="121">
        <f t="shared" si="37"/>
        <v>2462846.2800000003</v>
      </c>
      <c r="AS231" s="121">
        <f t="shared" si="37"/>
        <v>0</v>
      </c>
      <c r="AT231" s="121">
        <f t="shared" si="37"/>
        <v>0</v>
      </c>
      <c r="AU231" s="121">
        <f t="shared" si="37"/>
        <v>0</v>
      </c>
      <c r="AV231" s="121">
        <f t="shared" si="37"/>
        <v>0</v>
      </c>
      <c r="AW231" s="121">
        <f t="shared" si="37"/>
        <v>0</v>
      </c>
      <c r="AX231" s="121">
        <f t="shared" si="37"/>
        <v>0</v>
      </c>
      <c r="AY231" s="121">
        <f t="shared" si="37"/>
        <v>0</v>
      </c>
      <c r="AZ231" s="121">
        <f t="shared" si="37"/>
        <v>0</v>
      </c>
      <c r="BA231" s="121">
        <f t="shared" si="37"/>
        <v>0</v>
      </c>
      <c r="BB231" s="121">
        <f t="shared" si="37"/>
        <v>0</v>
      </c>
      <c r="BC231" s="121">
        <f t="shared" si="37"/>
        <v>0</v>
      </c>
      <c r="BD231" s="121">
        <f t="shared" si="37"/>
        <v>0</v>
      </c>
      <c r="BE231" s="121">
        <f t="shared" si="37"/>
        <v>0</v>
      </c>
      <c r="BF231" s="121">
        <f t="shared" si="37"/>
        <v>0</v>
      </c>
      <c r="BG231" s="121">
        <f t="shared" si="37"/>
        <v>0</v>
      </c>
      <c r="BH231" s="121">
        <f t="shared" si="37"/>
        <v>0</v>
      </c>
      <c r="BI231" s="121">
        <f t="shared" si="37"/>
        <v>0</v>
      </c>
      <c r="BJ231" s="121">
        <f t="shared" si="37"/>
        <v>0</v>
      </c>
      <c r="BK231" s="121">
        <f t="shared" si="37"/>
        <v>0</v>
      </c>
      <c r="BL231" s="121">
        <f t="shared" si="37"/>
        <v>94153953.803648666</v>
      </c>
      <c r="BM231" s="121">
        <f t="shared" si="37"/>
        <v>2030320</v>
      </c>
      <c r="BN231" s="121">
        <f t="shared" si="37"/>
        <v>-390030</v>
      </c>
      <c r="BO231" s="121">
        <f t="shared" si="37"/>
        <v>2030320</v>
      </c>
      <c r="BP231" s="121">
        <f t="shared" si="37"/>
        <v>66933568.301927403</v>
      </c>
      <c r="BQ231" s="121">
        <f t="shared" si="37"/>
        <v>2030320</v>
      </c>
      <c r="BR231" s="121">
        <f t="shared" si="37"/>
        <v>161087522.10557607</v>
      </c>
      <c r="BS231" s="121">
        <f t="shared" si="37"/>
        <v>2030320</v>
      </c>
      <c r="BT231" s="121">
        <f t="shared" si="37"/>
        <v>199017.37000000011</v>
      </c>
      <c r="BU231" s="133"/>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ustomFormat="1" ht="13.5" thickTop="1"/>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K235" s="5"/>
      <c r="L235" s="149"/>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BL245" s="22"/>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L253" s="134"/>
      <c r="BL253" s="22"/>
    </row>
    <row r="254" spans="11:122">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sheetData>
  <printOptions horizontalCentered="1"/>
  <pageMargins left="0.19" right="0" top="0.25" bottom="0.25" header="0.5" footer="0.5"/>
  <pageSetup scale="45"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1999-12-14T23:01:31Z</cp:lastPrinted>
  <dcterms:created xsi:type="dcterms:W3CDTF">1998-11-04T14:40:39Z</dcterms:created>
  <dcterms:modified xsi:type="dcterms:W3CDTF">2023-09-13T22:20:49Z</dcterms:modified>
</cp:coreProperties>
</file>