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6A4ECE-F6F3-4026-AF72-9F9FE15E13AE}" xr6:coauthVersionLast="47" xr6:coauthVersionMax="47" xr10:uidLastSave="{00000000-0000-0000-0000-000000000000}"/>
  <bookViews>
    <workbookView xWindow="-120" yWindow="-120" windowWidth="38640" windowHeight="15720" tabRatio="842" firstSheet="1" activeTab="4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Brownsville!$A$1:$P$62</definedName>
    <definedName name="_xlnm.Print_Area" localSheetId="2">Caledonia!$A$1:$P$63</definedName>
    <definedName name="_xlnm.Print_Area" localSheetId="4">'Draw Summary'!$A$1:$G$62</definedName>
    <definedName name="_xlnm.Print_Area" localSheetId="3">'New Albany'!$A$1:$P$71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P2" i="5"/>
  <c r="P3" i="5"/>
  <c r="P10" i="5"/>
  <c r="Q10" i="5"/>
  <c r="R10" i="5"/>
  <c r="P11" i="5"/>
  <c r="Q11" i="5"/>
  <c r="R11" i="5"/>
  <c r="N12" i="5"/>
  <c r="O12" i="5"/>
  <c r="P12" i="5"/>
  <c r="Q12" i="5"/>
  <c r="R12" i="5"/>
  <c r="G13" i="5"/>
  <c r="O13" i="5"/>
  <c r="P13" i="5"/>
  <c r="Q13" i="5"/>
  <c r="R13" i="5"/>
  <c r="M14" i="5"/>
  <c r="O14" i="5"/>
  <c r="P14" i="5"/>
  <c r="Q14" i="5"/>
  <c r="R14" i="5"/>
  <c r="M15" i="5"/>
  <c r="P15" i="5"/>
  <c r="Q15" i="5"/>
  <c r="R15" i="5"/>
  <c r="P16" i="5"/>
  <c r="Q16" i="5"/>
  <c r="R16" i="5"/>
  <c r="O17" i="5"/>
  <c r="P17" i="5"/>
  <c r="Q17" i="5"/>
  <c r="R17" i="5"/>
  <c r="P18" i="5"/>
  <c r="Q18" i="5"/>
  <c r="R18" i="5"/>
  <c r="G19" i="5"/>
  <c r="P19" i="5"/>
  <c r="Q19" i="5"/>
  <c r="R19" i="5"/>
  <c r="P20" i="5"/>
  <c r="Q20" i="5"/>
  <c r="R20" i="5"/>
  <c r="P21" i="5"/>
  <c r="Q21" i="5"/>
  <c r="R21" i="5"/>
  <c r="C22" i="5"/>
  <c r="P22" i="5"/>
  <c r="Q22" i="5"/>
  <c r="R22" i="5"/>
  <c r="P23" i="5"/>
  <c r="Q23" i="5"/>
  <c r="R23" i="5"/>
  <c r="G24" i="5"/>
  <c r="P24" i="5"/>
  <c r="Q24" i="5"/>
  <c r="R24" i="5"/>
  <c r="E25" i="5"/>
  <c r="G25" i="5"/>
  <c r="M25" i="5"/>
  <c r="P25" i="5"/>
  <c r="Q25" i="5"/>
  <c r="R25" i="5"/>
  <c r="C26" i="5"/>
  <c r="E26" i="5"/>
  <c r="H26" i="5"/>
  <c r="P26" i="5"/>
  <c r="Q26" i="5"/>
  <c r="R26" i="5"/>
  <c r="K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30" i="5"/>
  <c r="C32" i="5"/>
  <c r="D32" i="5"/>
  <c r="E32" i="5"/>
  <c r="F32" i="5"/>
  <c r="G32" i="5"/>
  <c r="I32" i="5"/>
  <c r="P32" i="5"/>
  <c r="Q32" i="5"/>
  <c r="R32" i="5"/>
  <c r="G33" i="5"/>
  <c r="P33" i="5"/>
  <c r="Q33" i="5"/>
  <c r="R33" i="5"/>
  <c r="P34" i="5"/>
  <c r="Q34" i="5"/>
  <c r="R34" i="5"/>
  <c r="G35" i="5"/>
  <c r="P35" i="5"/>
  <c r="Q35" i="5"/>
  <c r="R35" i="5"/>
  <c r="P36" i="5"/>
  <c r="Q36" i="5"/>
  <c r="R36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3" i="5"/>
  <c r="P45" i="5"/>
  <c r="R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62" i="5"/>
  <c r="D2" i="7"/>
  <c r="P2" i="7"/>
  <c r="P3" i="7"/>
  <c r="P10" i="7"/>
  <c r="Q10" i="7"/>
  <c r="R10" i="7"/>
  <c r="P11" i="7"/>
  <c r="Q11" i="7"/>
  <c r="R11" i="7"/>
  <c r="O12" i="7"/>
  <c r="P12" i="7"/>
  <c r="Q12" i="7"/>
  <c r="R12" i="7"/>
  <c r="O13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C22" i="7"/>
  <c r="P22" i="7"/>
  <c r="Q22" i="7"/>
  <c r="R22" i="7"/>
  <c r="J23" i="7"/>
  <c r="P23" i="7"/>
  <c r="Q23" i="7"/>
  <c r="R23" i="7"/>
  <c r="P24" i="7"/>
  <c r="Q24" i="7"/>
  <c r="R24" i="7"/>
  <c r="C25" i="7"/>
  <c r="E25" i="7"/>
  <c r="P25" i="7"/>
  <c r="Q25" i="7"/>
  <c r="R25" i="7"/>
  <c r="E26" i="7"/>
  <c r="H26" i="7"/>
  <c r="I26" i="7"/>
  <c r="J26" i="7"/>
  <c r="P26" i="7"/>
  <c r="Q26" i="7"/>
  <c r="R26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30" i="7"/>
  <c r="C32" i="7"/>
  <c r="D32" i="7"/>
  <c r="E32" i="7"/>
  <c r="F32" i="7"/>
  <c r="G32" i="7"/>
  <c r="P32" i="7"/>
  <c r="Q32" i="7"/>
  <c r="R32" i="7"/>
  <c r="P33" i="7"/>
  <c r="Q33" i="7"/>
  <c r="R33" i="7"/>
  <c r="P34" i="7"/>
  <c r="Q34" i="7"/>
  <c r="R34" i="7"/>
  <c r="G35" i="7"/>
  <c r="H35" i="7"/>
  <c r="P35" i="7"/>
  <c r="Q35" i="7"/>
  <c r="R35" i="7"/>
  <c r="P36" i="7"/>
  <c r="Q36" i="7"/>
  <c r="R36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3" i="7"/>
  <c r="P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P2" i="8"/>
  <c r="P3" i="8"/>
  <c r="C10" i="8"/>
  <c r="D10" i="8"/>
  <c r="E10" i="8"/>
  <c r="F10" i="8"/>
  <c r="P10" i="8"/>
  <c r="Q10" i="8"/>
  <c r="R10" i="8"/>
  <c r="P11" i="8"/>
  <c r="Q11" i="8"/>
  <c r="R11" i="8"/>
  <c r="C12" i="8"/>
  <c r="D12" i="8"/>
  <c r="F12" i="8"/>
  <c r="G12" i="8"/>
  <c r="O12" i="8"/>
  <c r="P12" i="8"/>
  <c r="Q12" i="8"/>
  <c r="R12" i="8"/>
  <c r="K13" i="8"/>
  <c r="P13" i="8"/>
  <c r="Q13" i="8"/>
  <c r="R13" i="8"/>
  <c r="O14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I25" i="8"/>
  <c r="J25" i="8"/>
  <c r="P25" i="8"/>
  <c r="Q25" i="8"/>
  <c r="R25" i="8"/>
  <c r="E26" i="8"/>
  <c r="G26" i="8"/>
  <c r="M26" i="8"/>
  <c r="P26" i="8"/>
  <c r="Q26" i="8"/>
  <c r="R26" i="8"/>
  <c r="I27" i="8"/>
  <c r="L27" i="8"/>
  <c r="M27" i="8"/>
  <c r="P27" i="8"/>
  <c r="Q27" i="8"/>
  <c r="R27" i="8"/>
  <c r="P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1" i="8"/>
  <c r="C33" i="8"/>
  <c r="D33" i="8"/>
  <c r="E33" i="8"/>
  <c r="F33" i="8"/>
  <c r="G33" i="8"/>
  <c r="J33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4" i="8"/>
  <c r="P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</calcChain>
</file>

<file path=xl/sharedStrings.xml><?xml version="1.0" encoding="utf-8"?>
<sst xmlns="http://schemas.openxmlformats.org/spreadsheetml/2006/main" count="406" uniqueCount="127">
  <si>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</si>
  <si>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</si>
  <si>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</si>
  <si>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</si>
  <si>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</si>
  <si>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</si>
  <si>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</si>
  <si>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</si>
  <si>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</si>
  <si>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</si>
  <si>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</si>
  <si>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</si>
  <si>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</si>
  <si>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</si>
  <si>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</si>
  <si>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</si>
  <si>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</si>
  <si>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</si>
  <si>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</si>
  <si>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</si>
  <si>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</si>
  <si>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</si>
  <si>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</si>
  <si>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</si>
  <si>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</si>
  <si>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</si>
  <si>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</si>
  <si>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</si>
  <si>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</si>
  <si>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</si>
  <si>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</si>
  <si>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</si>
  <si>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</si>
  <si>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</si>
  <si>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</si>
  <si>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</si>
  <si>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</si>
  <si>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</si>
  <si>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</si>
  <si>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</si>
  <si>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</si>
  <si>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</si>
  <si>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</si>
  <si>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</si>
  <si>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</si>
  <si>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</si>
  <si>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</si>
  <si>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</si>
  <si>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</si>
  <si>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</si>
  <si>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</si>
  <si>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</si>
  <si>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</si>
  <si>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</si>
  <si>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</si>
  <si>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</si>
  <si>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</si>
  <si>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</si>
  <si>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</si>
  <si>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</si>
  <si>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</si>
  <si>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</si>
  <si>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</si>
  <si>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</si>
  <si>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</si>
  <si>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</si>
  <si>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</si>
  <si>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</si>
  <si>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</si>
  <si>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</si>
  <si>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</si>
  <si>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</si>
  <si>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</si>
  <si>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</si>
  <si>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</si>
  <si>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</si>
  <si>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</si>
  <si>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</si>
  <si>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</si>
  <si>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</si>
  <si>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</si>
  <si>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</si>
  <si>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</si>
  <si>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</si>
  <si>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</si>
  <si>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</si>
  <si>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</si>
  <si>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</si>
  <si>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</si>
  <si>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</si>
  <si>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</si>
  <si>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</si>
  <si>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</si>
  <si>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</si>
  <si>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</si>
  <si>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</si>
  <si>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</si>
  <si>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</si>
  <si>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</si>
  <si>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</si>
  <si>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</si>
  <si>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</si>
  <si>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</si>
  <si>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</si>
  <si>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</si>
  <si>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</si>
  <si>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</si>
  <si>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</si>
  <si>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</si>
  <si>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</si>
  <si>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</si>
  <si>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</si>
  <si>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</si>
  <si>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</si>
  <si>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</si>
  <si>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</si>
  <si>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</si>
  <si>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</si>
  <si>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</si>
  <si>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</si>
  <si>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</si>
  <si>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</si>
  <si>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</si>
  <si>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</si>
  <si>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</si>
  <si>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</si>
  <si>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10,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</si>
</sst>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14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AY18">
            <v>72614405.800000012</v>
          </cell>
        </row>
        <row r="31">
          <cell r="AY31">
            <v>8885247.1400000006</v>
          </cell>
        </row>
        <row r="41">
          <cell r="AY41">
            <v>734722.72</v>
          </cell>
        </row>
        <row r="106">
          <cell r="AY106">
            <v>33249499.699999999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128239676.69533333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29311500.149999999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154644660.9593333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33525000.170000002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148257197.12733331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O:\Fin_Ops\Engysvc\PowerPlants\TVA Plants\TVA Weekly Summary\[TVA Wkly Anal - 121499.xls]Brownsville</v>
      </c>
    </row>
    <row r="3" spans="1:23" s="2" customFormat="1" ht="15.75" x14ac:dyDescent="0.25">
      <c r="A3" s="1" t="s">
        <v>2</v>
      </c>
      <c r="F3" s="3"/>
      <c r="V3" s="24">
        <f ca="1">NOW()</f>
        <v>36507.455072685188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 t="s">
        <v>4</v>
      </c>
      <c r="Q5" s="75"/>
      <c r="R5" s="75"/>
      <c r="S5" s="75"/>
      <c r="T5" s="75"/>
      <c r="U5" s="75"/>
      <c r="V5" s="75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workbookViewId="0">
      <pane xSplit="2" ySplit="6" topLeftCell="N33" activePane="bottomRight" state="frozen"/>
      <selection activeCell="C7" sqref="C7"/>
      <selection pane="topRight" activeCell="C7" sqref="C7"/>
      <selection pane="bottomLeft" activeCell="C7" sqref="C7"/>
      <selection pane="bottomRight" activeCell="Q55" sqref="Q55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customWidth="1"/>
    <col min="5" max="5" width="12.85546875" style="18" customWidth="1"/>
    <col min="6" max="6" width="13.28515625" style="18" customWidth="1"/>
    <col min="7" max="7" width="12.28515625" style="18" bestFit="1" customWidth="1"/>
    <col min="8" max="8" width="14.140625" style="18" customWidth="1"/>
    <col min="9" max="9" width="14" style="18" customWidth="1"/>
    <col min="10" max="10" width="13.42578125" style="18" customWidth="1"/>
    <col min="11" max="11" width="13.5703125" style="18" customWidth="1"/>
    <col min="12" max="12" width="14.42578125" style="18" customWidth="1"/>
    <col min="13" max="14" width="14.28515625" style="18" customWidth="1"/>
    <col min="15" max="15" width="14.7109375" style="18" customWidth="1"/>
    <col min="16" max="16" width="14.42578125" style="4" customWidth="1"/>
    <col min="17" max="17" width="12.28515625" style="18" bestFit="1" customWidth="1"/>
    <col min="18" max="18" width="14.14062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">
        <v>126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36507.455072685188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M7" s="62"/>
      <c r="P7" s="10"/>
    </row>
    <row r="8" spans="1:18" s="6" customFormat="1" x14ac:dyDescent="0.2">
      <c r="A8" s="5" t="s">
        <v>77</v>
      </c>
      <c r="G8" s="62"/>
      <c r="L8" s="62"/>
      <c r="M8" s="62"/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79</v>
      </c>
      <c r="C10" s="36">
        <v>58899539</v>
      </c>
      <c r="D10" s="40">
        <v>48600</v>
      </c>
      <c r="E10" s="40">
        <v>3567810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0</v>
      </c>
      <c r="O10" s="8">
        <v>1637615</v>
      </c>
      <c r="P10" s="11">
        <f t="shared" ref="P10:P28" si="0">SUM(C10:O10)</f>
        <v>72614406</v>
      </c>
      <c r="Q10" s="18">
        <f>+[1]Brownsville!AY18</f>
        <v>72614405.800000012</v>
      </c>
      <c r="R10" s="18">
        <f>+Q10-P10</f>
        <v>-0.19999998807907104</v>
      </c>
    </row>
    <row r="11" spans="1:18" x14ac:dyDescent="0.2">
      <c r="A11" s="17" t="s">
        <v>19</v>
      </c>
      <c r="C11" s="36">
        <v>2998569</v>
      </c>
      <c r="D11" s="40">
        <v>2951629</v>
      </c>
      <c r="E11" s="40">
        <v>137615</v>
      </c>
      <c r="F11" s="8">
        <v>0</v>
      </c>
      <c r="G11" s="40">
        <v>1229873</v>
      </c>
      <c r="H11" s="40">
        <v>747040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-273278</v>
      </c>
      <c r="P11" s="11">
        <f t="shared" si="0"/>
        <v>8885247</v>
      </c>
      <c r="Q11" s="18">
        <f>+[1]Brownsville!AY31</f>
        <v>8885247.1400000006</v>
      </c>
      <c r="R11" s="18">
        <f t="shared" ref="R11:R26" si="1">+Q11-P11</f>
        <v>0.14000000059604645</v>
      </c>
    </row>
    <row r="12" spans="1:18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f>8571+1</f>
        <v>8572</v>
      </c>
      <c r="P12" s="11">
        <f t="shared" si="0"/>
        <v>734723</v>
      </c>
      <c r="Q12" s="18">
        <f>+[1]Brownsville!AY41</f>
        <v>734722.72</v>
      </c>
      <c r="R12" s="18">
        <f t="shared" si="1"/>
        <v>-0.28000000002793968</v>
      </c>
    </row>
    <row r="13" spans="1:18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f>3055350+54996+12907-1641480</f>
        <v>1481773</v>
      </c>
      <c r="H13" s="40">
        <v>4260335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f>1256989-837423+822996</f>
        <v>1242562</v>
      </c>
      <c r="P13" s="11">
        <f t="shared" si="0"/>
        <v>33249500</v>
      </c>
      <c r="Q13" s="18">
        <f>+[1]Brownsville!AY106</f>
        <v>33249499.699999999</v>
      </c>
      <c r="R13" s="18">
        <f t="shared" si="1"/>
        <v>-0.30000000074505806</v>
      </c>
    </row>
    <row r="14" spans="1:18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f>-2+1</f>
        <v>-1</v>
      </c>
      <c r="P14" s="11">
        <f t="shared" si="0"/>
        <v>698289</v>
      </c>
      <c r="Q14" s="18">
        <f>+[1]Brownsville!AY113</f>
        <v>698289.4</v>
      </c>
      <c r="R14" s="18">
        <f t="shared" si="1"/>
        <v>0.40000000002328306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1">
        <f t="shared" si="0"/>
        <v>1317747</v>
      </c>
      <c r="Q15" s="18">
        <f>+[1]Brownsville!AY115</f>
        <v>1317746.81</v>
      </c>
      <c r="R15" s="18">
        <f t="shared" si="1"/>
        <v>-0.18999999994412065</v>
      </c>
    </row>
    <row r="16" spans="1:18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461440</v>
      </c>
      <c r="Q16" s="18">
        <f>+[1]Brownsville!AY120</f>
        <v>461440.33</v>
      </c>
      <c r="R16" s="18">
        <f t="shared" si="1"/>
        <v>0.33000000001629815</v>
      </c>
    </row>
    <row r="17" spans="1:18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f>12248-1</f>
        <v>12247</v>
      </c>
      <c r="P17" s="11">
        <f t="shared" si="0"/>
        <v>865369</v>
      </c>
      <c r="Q17" s="18">
        <f>+[1]Brownsville!AY130</f>
        <v>865369.27999999991</v>
      </c>
      <c r="R17" s="18">
        <f t="shared" si="1"/>
        <v>0.27999999991152436</v>
      </c>
    </row>
    <row r="18" spans="1:18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1">
        <f t="shared" si="0"/>
        <v>0</v>
      </c>
      <c r="Q18" s="18">
        <f>+[1]Brownsville!AY132</f>
        <v>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165021</v>
      </c>
      <c r="P19" s="11">
        <f t="shared" si="0"/>
        <v>1972489</v>
      </c>
      <c r="Q19" s="18">
        <f>+[1]Brownsville!AY139</f>
        <v>1972489.0119999999</v>
      </c>
      <c r="R19" s="18">
        <f t="shared" si="1"/>
        <v>1.1999999871477485E-2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-1</v>
      </c>
      <c r="P20" s="11">
        <f t="shared" si="0"/>
        <v>228051</v>
      </c>
      <c r="Q20" s="18">
        <f>+[1]Brownsville!AY194</f>
        <v>228051.11</v>
      </c>
      <c r="R20" s="18">
        <f t="shared" si="1"/>
        <v>0.10999999998603016</v>
      </c>
    </row>
    <row r="21" spans="1:18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192684</v>
      </c>
      <c r="P21" s="11">
        <f t="shared" si="0"/>
        <v>225949</v>
      </c>
      <c r="Q21" s="18">
        <f>+[1]Brownsville!AY141</f>
        <v>225949</v>
      </c>
      <c r="R21" s="18">
        <f t="shared" si="1"/>
        <v>0</v>
      </c>
    </row>
    <row r="22" spans="1:18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1</v>
      </c>
      <c r="P22" s="11">
        <f>SUM(C22:O22)</f>
        <v>69937</v>
      </c>
      <c r="Q22" s="18">
        <f>+[1]Brownsville!AY161</f>
        <v>69937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10001</v>
      </c>
      <c r="P23" s="11">
        <f t="shared" si="0"/>
        <v>164348</v>
      </c>
      <c r="Q23" s="18">
        <f>+[1]Brownsville!AY143</f>
        <v>164348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35060</v>
      </c>
      <c r="Q24" s="18">
        <f>+[1]Brownsville!AY145</f>
        <v>35060.42</v>
      </c>
      <c r="R24" s="18">
        <f t="shared" si="1"/>
        <v>0.41999999999825377</v>
      </c>
    </row>
    <row r="25" spans="1:18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-1</v>
      </c>
      <c r="P25" s="11">
        <f t="shared" si="0"/>
        <v>555315</v>
      </c>
      <c r="Q25" s="18">
        <f>+[1]Brownsville!AY179</f>
        <v>555315.14000000013</v>
      </c>
      <c r="R25" s="18">
        <f t="shared" si="1"/>
        <v>0.14000000013038516</v>
      </c>
    </row>
    <row r="26" spans="1:18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-2</v>
      </c>
      <c r="P26" s="11">
        <f>SUM(C26:O26)</f>
        <v>766417</v>
      </c>
      <c r="Q26" s="18">
        <f>+[1]Brownsville!AY192</f>
        <v>766416.75</v>
      </c>
      <c r="R26" s="18">
        <f t="shared" si="1"/>
        <v>-0.25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6641389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467681</v>
      </c>
      <c r="O28" s="21">
        <f t="shared" si="2"/>
        <v>2995420</v>
      </c>
      <c r="P28" s="22">
        <f t="shared" si="0"/>
        <v>122844287</v>
      </c>
    </row>
    <row r="29" spans="1:18" x14ac:dyDescent="0.2">
      <c r="A29" s="17" t="s">
        <v>67</v>
      </c>
      <c r="C29" s="41">
        <f>+C28</f>
        <v>64632925</v>
      </c>
      <c r="D29" s="41">
        <f t="shared" ref="D29:O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94653313</v>
      </c>
      <c r="I29" s="41">
        <f t="shared" si="3"/>
        <v>101563283</v>
      </c>
      <c r="J29" s="41">
        <f t="shared" si="3"/>
        <v>107454451</v>
      </c>
      <c r="K29" s="41">
        <f t="shared" si="3"/>
        <v>115776773</v>
      </c>
      <c r="L29" s="41">
        <f t="shared" si="3"/>
        <v>117451122</v>
      </c>
      <c r="M29" s="41">
        <f t="shared" si="3"/>
        <v>119381186</v>
      </c>
      <c r="N29" s="41">
        <f t="shared" si="3"/>
        <v>119848867</v>
      </c>
      <c r="O29" s="21">
        <f t="shared" si="3"/>
        <v>122844287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268.21896724890831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1">
        <f t="shared" ref="P32:P38" si="4">SUM(C32:O32)</f>
        <v>4408046.5792386513</v>
      </c>
      <c r="Q32" s="18">
        <f>+[1]Brownsville!AY147</f>
        <v>4408047</v>
      </c>
      <c r="R32" s="18">
        <f>+Q32-P32</f>
        <v>0.42076134867966175</v>
      </c>
    </row>
    <row r="33" spans="1:18" x14ac:dyDescent="0.2">
      <c r="A33" s="17" t="s">
        <v>93</v>
      </c>
      <c r="C33" s="42"/>
      <c r="D33" s="42"/>
      <c r="E33" s="42"/>
      <c r="F33" s="42"/>
      <c r="G33" s="42">
        <f>-125689+1725</f>
        <v>-123964</v>
      </c>
      <c r="H33" s="42"/>
      <c r="I33" s="42"/>
      <c r="J33" s="42"/>
      <c r="K33" s="42"/>
      <c r="L33" s="40"/>
      <c r="M33" s="40"/>
      <c r="N33" s="40"/>
      <c r="P33" s="11">
        <f t="shared" si="4"/>
        <v>-123964</v>
      </c>
      <c r="Q33" s="18">
        <f>+[1]Brownsville!AY148</f>
        <v>-123964</v>
      </c>
      <c r="R33" s="18">
        <f>+Q33-P33</f>
        <v>0</v>
      </c>
    </row>
    <row r="34" spans="1:18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11">
        <f t="shared" si="4"/>
        <v>23205.3</v>
      </c>
      <c r="Q34" s="18">
        <f>+[1]Brownsville!AY149</f>
        <v>23205.300000000003</v>
      </c>
      <c r="R34" s="18">
        <f>+Q34-P34</f>
        <v>0</v>
      </c>
    </row>
    <row r="35" spans="1:18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11">
        <f t="shared" si="4"/>
        <v>1103770</v>
      </c>
      <c r="Q35" s="18">
        <f>+[1]Brownsville!AY159</f>
        <v>1103769.7233333334</v>
      </c>
      <c r="R35" s="18">
        <f>+Q35-P35</f>
        <v>-0.27666666661389172</v>
      </c>
    </row>
    <row r="36" spans="1:18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1">
        <f t="shared" si="4"/>
        <v>-15668</v>
      </c>
      <c r="Q36" s="18">
        <f>+[1]Brownsville!AY150</f>
        <v>-15667.939999999999</v>
      </c>
      <c r="R36" s="18">
        <f>+Q36-P36</f>
        <v>6.0000000001309672E-2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2">
        <f t="shared" si="4"/>
        <v>5395389.8792386521</v>
      </c>
    </row>
    <row r="39" spans="1:18" x14ac:dyDescent="0.2">
      <c r="A39" s="17" t="s">
        <v>68</v>
      </c>
      <c r="C39" s="41">
        <f>+C38</f>
        <v>2153135</v>
      </c>
      <c r="D39" s="41">
        <f t="shared" ref="D39:O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6966120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551014</v>
      </c>
      <c r="O41" s="4">
        <f t="shared" si="7"/>
        <v>3103100</v>
      </c>
      <c r="P41" s="11">
        <f>SUM(C41:O41)</f>
        <v>128239676.87923865</v>
      </c>
    </row>
    <row r="42" spans="1:18" s="4" customFormat="1" x14ac:dyDescent="0.2">
      <c r="A42" s="4" t="s">
        <v>45</v>
      </c>
      <c r="C42" s="36">
        <f>C41</f>
        <v>66786060</v>
      </c>
      <c r="D42" s="36">
        <f t="shared" ref="D42:O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99465043.87923865</v>
      </c>
      <c r="I42" s="36">
        <f t="shared" si="8"/>
        <v>107058287.87923865</v>
      </c>
      <c r="J42" s="36">
        <f t="shared" si="8"/>
        <v>113547752.87923865</v>
      </c>
      <c r="K42" s="36">
        <f>J42+K41</f>
        <v>121271777.87923865</v>
      </c>
      <c r="L42" s="36">
        <f t="shared" si="8"/>
        <v>122655498.87923865</v>
      </c>
      <c r="M42" s="36">
        <f t="shared" si="8"/>
        <v>124585562.87923865</v>
      </c>
      <c r="N42" s="36">
        <f t="shared" si="8"/>
        <v>125136576.87923865</v>
      </c>
      <c r="O42" s="4">
        <f t="shared" si="8"/>
        <v>128239676.87923865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P43" s="16">
        <f>+P41/C59/1000</f>
        <v>279.99929449615422</v>
      </c>
    </row>
    <row r="44" spans="1:18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P45" s="22">
        <f>SUM(C45:O45)</f>
        <v>0</v>
      </c>
      <c r="R45" s="18">
        <f>+Q45-P45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6710115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551014</v>
      </c>
      <c r="O47" s="4">
        <f>+O41-O32</f>
        <v>3103100</v>
      </c>
      <c r="P47" s="11">
        <f>SUM(C47:O47)</f>
        <v>123831630.30000001</v>
      </c>
    </row>
    <row r="48" spans="1:18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11"/>
    </row>
    <row r="49" spans="1:18" hidden="1" x14ac:dyDescent="0.2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11"/>
    </row>
    <row r="50" spans="1:18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O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6966120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551014</v>
      </c>
      <c r="O52" s="44">
        <f t="shared" si="11"/>
        <v>3103100</v>
      </c>
      <c r="P52" s="30">
        <f>SUM(C52:O52)</f>
        <v>128239676.87923865</v>
      </c>
      <c r="R52" s="18">
        <f>SUM(R10:R51)</f>
        <v>0.81609469380418886</v>
      </c>
    </row>
    <row r="53" spans="1:18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O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99465043.87923865</v>
      </c>
      <c r="I53" s="45">
        <f t="shared" si="12"/>
        <v>107058287.87923865</v>
      </c>
      <c r="J53" s="45">
        <f t="shared" si="12"/>
        <v>113547752.87923865</v>
      </c>
      <c r="K53" s="45">
        <f t="shared" si="12"/>
        <v>121271777.87923865</v>
      </c>
      <c r="L53" s="45">
        <f t="shared" si="12"/>
        <v>122655498.87923865</v>
      </c>
      <c r="M53" s="45">
        <f t="shared" si="12"/>
        <v>124585562.87923865</v>
      </c>
      <c r="N53" s="45">
        <f t="shared" si="12"/>
        <v>125136576.87923865</v>
      </c>
      <c r="O53" s="32">
        <f t="shared" si="12"/>
        <v>128239676.87923865</v>
      </c>
      <c r="P53" s="11"/>
    </row>
    <row r="54" spans="1:18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6966120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551014</v>
      </c>
      <c r="O55" s="29">
        <f t="shared" si="13"/>
        <v>3103100</v>
      </c>
      <c r="P55" s="30">
        <f t="shared" si="13"/>
        <v>128239676.87923865</v>
      </c>
      <c r="Q55" s="18">
        <f>+[1]Brownsville!AY197</f>
        <v>128239676.69533333</v>
      </c>
      <c r="R55" s="18">
        <f>+Q55-P55</f>
        <v>-0.18390531837940216</v>
      </c>
    </row>
    <row r="56" spans="1:18" x14ac:dyDescent="0.2">
      <c r="G56" s="40"/>
      <c r="H56" s="40"/>
      <c r="J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P58" s="38"/>
    </row>
    <row r="59" spans="1:18" s="4" customFormat="1" x14ac:dyDescent="0.2">
      <c r="A59" s="8"/>
      <c r="C59" s="4">
        <v>458</v>
      </c>
      <c r="D59" s="4" t="s">
        <v>66</v>
      </c>
      <c r="J59" s="36"/>
      <c r="P59"/>
    </row>
    <row r="60" spans="1:18" x14ac:dyDescent="0.2">
      <c r="J60" s="40"/>
    </row>
    <row r="61" spans="1:18" x14ac:dyDescent="0.2">
      <c r="C61" s="36" t="s">
        <v>89</v>
      </c>
      <c r="D61" s="17" t="s">
        <v>90</v>
      </c>
      <c r="J61" s="40"/>
    </row>
    <row r="62" spans="1:18" x14ac:dyDescent="0.2">
      <c r="C62" s="37"/>
      <c r="D62" s="17" t="str">
        <f>+'New Albany'!D62</f>
        <v>Input from WestLB statements for each month's actuals (1/99 - 5/99)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  <row r="73" spans="1:17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20"/>
    </row>
  </sheetData>
  <printOptions horizontalCentered="1"/>
  <pageMargins left="0.25" right="0.25" top="0.25" bottom="0.25" header="0.25" footer="0.5"/>
  <pageSetup scale="57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workbookViewId="0">
      <pane xSplit="2" ySplit="6" topLeftCell="M35" activePane="bottomRight" state="frozen"/>
      <selection activeCell="D3" sqref="D3"/>
      <selection pane="topRight" activeCell="D3" sqref="D3"/>
      <selection pane="bottomLeft" activeCell="D3" sqref="D3"/>
      <selection pane="bottomRight" activeCell="P55" sqref="P55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customWidth="1"/>
    <col min="5" max="5" width="14.28515625" style="18" customWidth="1"/>
    <col min="6" max="6" width="13.42578125" style="18" customWidth="1"/>
    <col min="7" max="7" width="14.5703125" style="18" customWidth="1"/>
    <col min="8" max="8" width="14.28515625" style="18" customWidth="1"/>
    <col min="9" max="9" width="14.85546875" style="18" customWidth="1"/>
    <col min="10" max="10" width="14.7109375" style="18" customWidth="1"/>
    <col min="11" max="12" width="14.85546875" style="18" customWidth="1"/>
    <col min="13" max="13" width="15.7109375" style="18" customWidth="1"/>
    <col min="14" max="15" width="15.28515625" style="18" customWidth="1"/>
    <col min="16" max="16" width="14.42578125" style="4" customWidth="1"/>
    <col min="17" max="17" width="12.28515625" style="18" bestFit="1" customWidth="1"/>
    <col min="18" max="18" width="13.855468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10, 1999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36507.455072685188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N7" s="62"/>
      <c r="P7" s="10"/>
    </row>
    <row r="8" spans="1:18" s="6" customFormat="1" x14ac:dyDescent="0.2">
      <c r="A8" s="5" t="s">
        <v>87</v>
      </c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v>4852796</v>
      </c>
      <c r="O10" s="8">
        <v>1940179</v>
      </c>
      <c r="P10" s="11">
        <f t="shared" ref="P10:P28" si="0">SUM(C10:O10)</f>
        <v>101629108</v>
      </c>
      <c r="Q10" s="18">
        <f>+[1]Caledonia!$AY$21</f>
        <v>101629107.92</v>
      </c>
      <c r="R10" s="18">
        <f>+Q10-P10</f>
        <v>-7.9999998211860657E-2</v>
      </c>
    </row>
    <row r="11" spans="1:18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1</v>
      </c>
      <c r="P11" s="11">
        <f t="shared" si="0"/>
        <v>10286721</v>
      </c>
      <c r="Q11" s="18">
        <f>+[1]Caledonia!$AY$34</f>
        <v>10286721</v>
      </c>
      <c r="R11" s="18">
        <f t="shared" ref="R11:R26" si="1">+Q11-P11</f>
        <v>0</v>
      </c>
    </row>
    <row r="12" spans="1:18" x14ac:dyDescent="0.2">
      <c r="A12" s="17" t="s">
        <v>20</v>
      </c>
      <c r="C12" s="36">
        <v>232364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f>1424+11560</f>
        <v>12984</v>
      </c>
      <c r="P12" s="11">
        <f t="shared" si="0"/>
        <v>785954</v>
      </c>
      <c r="Q12" s="18">
        <f>+[1]Caledonia!$AY$44</f>
        <v>785954.21</v>
      </c>
      <c r="R12" s="18">
        <f t="shared" si="1"/>
        <v>0.2099999999627471</v>
      </c>
    </row>
    <row r="13" spans="1:18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f>283000+546651</f>
        <v>829651</v>
      </c>
      <c r="P13" s="11">
        <f t="shared" si="0"/>
        <v>29311500</v>
      </c>
      <c r="Q13" s="18">
        <f>+[1]Caledonia!$AY$117</f>
        <v>29311500.149999999</v>
      </c>
      <c r="R13" s="18">
        <f t="shared" si="1"/>
        <v>0.14999999850988388</v>
      </c>
    </row>
    <row r="14" spans="1:18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1">
        <f t="shared" si="0"/>
        <v>568579</v>
      </c>
      <c r="Q14" s="18">
        <f>+[1]Caledonia!$AY$123</f>
        <v>568579.43999999994</v>
      </c>
      <c r="R14" s="18">
        <f t="shared" si="1"/>
        <v>0.43999999994412065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91025</v>
      </c>
      <c r="P15" s="11">
        <f t="shared" si="0"/>
        <v>787800</v>
      </c>
      <c r="Q15" s="18">
        <f>+[1]Caledonia!$AY$125</f>
        <v>787800</v>
      </c>
      <c r="R15" s="18">
        <f t="shared" si="1"/>
        <v>0</v>
      </c>
    </row>
    <row r="16" spans="1:18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557693</v>
      </c>
      <c r="Q16" s="18">
        <f>+[1]Caledonia!$AY$136</f>
        <v>557693.32999999996</v>
      </c>
      <c r="R16" s="18">
        <f t="shared" si="1"/>
        <v>0.32999999995809048</v>
      </c>
    </row>
    <row r="17" spans="1:18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1">
        <f t="shared" si="0"/>
        <v>237353</v>
      </c>
      <c r="Q17" s="18">
        <f>+[1]Caledonia!$AY$138</f>
        <v>237352.65</v>
      </c>
      <c r="R17" s="18">
        <f t="shared" si="1"/>
        <v>-0.35000000000582077</v>
      </c>
    </row>
    <row r="18" spans="1:18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141</v>
      </c>
      <c r="P18" s="11">
        <f t="shared" si="0"/>
        <v>981000</v>
      </c>
      <c r="Q18" s="18">
        <f>+[1]Caledonia!$AY$141</f>
        <v>981000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440706</v>
      </c>
      <c r="P19" s="11">
        <f t="shared" si="0"/>
        <v>3507820</v>
      </c>
      <c r="Q19" s="18">
        <f>+[1]Caledonia!$AY$148</f>
        <v>3507819.8760000002</v>
      </c>
      <c r="R19" s="18">
        <f t="shared" si="1"/>
        <v>-0.12399999983608723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1">
        <f t="shared" si="0"/>
        <v>136036</v>
      </c>
      <c r="Q20" s="18">
        <f>+[1]Caledonia!$AY$194</f>
        <v>136036.07</v>
      </c>
      <c r="R20" s="18">
        <f t="shared" si="1"/>
        <v>7.0000000006984919E-2</v>
      </c>
    </row>
    <row r="21" spans="1:18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-272978</v>
      </c>
      <c r="P21" s="11">
        <f t="shared" si="0"/>
        <v>100000</v>
      </c>
      <c r="Q21" s="18">
        <f>+[1]Caledonia!$AY$150</f>
        <v>99999.999999999942</v>
      </c>
      <c r="R21" s="18">
        <f t="shared" si="1"/>
        <v>0</v>
      </c>
    </row>
    <row r="22" spans="1:18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1">
        <f t="shared" si="0"/>
        <v>94021</v>
      </c>
      <c r="Q22" s="18">
        <f>+[1]Caledonia!$AY$171</f>
        <v>94021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2615</v>
      </c>
      <c r="P23" s="11">
        <f t="shared" si="0"/>
        <v>224923</v>
      </c>
      <c r="Q23" s="18">
        <f>+[1]Caledonia!$AY$152</f>
        <v>224923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53204</v>
      </c>
      <c r="Q24" s="18">
        <f>+[1]Caledonia!$AY$154</f>
        <v>53203.58</v>
      </c>
      <c r="R24" s="18">
        <f t="shared" si="1"/>
        <v>-0.41999999999825377</v>
      </c>
    </row>
    <row r="25" spans="1:18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-6113</v>
      </c>
      <c r="P25" s="11">
        <f t="shared" si="0"/>
        <v>741636</v>
      </c>
      <c r="Q25" s="18">
        <f>+[1]Caledonia!$AY$184</f>
        <v>741635.96</v>
      </c>
      <c r="R25" s="18">
        <f t="shared" si="1"/>
        <v>-4.0000000037252903E-2</v>
      </c>
    </row>
    <row r="26" spans="1:18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1</v>
      </c>
      <c r="P26" s="11">
        <f t="shared" si="0"/>
        <v>581382</v>
      </c>
      <c r="Q26" s="18">
        <f>+[1]Caledonia!$AY$192</f>
        <v>581382.25</v>
      </c>
      <c r="R26" s="18">
        <f t="shared" si="1"/>
        <v>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41714229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6001774</v>
      </c>
      <c r="O28" s="21">
        <f t="shared" si="2"/>
        <v>3038212</v>
      </c>
      <c r="P28" s="22">
        <f t="shared" si="0"/>
        <v>150584730</v>
      </c>
    </row>
    <row r="29" spans="1:18" x14ac:dyDescent="0.2">
      <c r="A29" s="17" t="s">
        <v>67</v>
      </c>
      <c r="C29" s="41">
        <f>+C28</f>
        <v>41714229</v>
      </c>
      <c r="D29" s="41">
        <f t="shared" ref="D29:O29" si="3">+C29+D28</f>
        <v>53776789</v>
      </c>
      <c r="E29" s="41">
        <f t="shared" si="3"/>
        <v>61851666</v>
      </c>
      <c r="F29" s="41">
        <f t="shared" si="3"/>
        <v>76624734</v>
      </c>
      <c r="G29" s="41">
        <f t="shared" si="3"/>
        <v>92684791</v>
      </c>
      <c r="H29" s="41">
        <f t="shared" si="3"/>
        <v>112792235</v>
      </c>
      <c r="I29" s="41">
        <f t="shared" si="3"/>
        <v>116924546</v>
      </c>
      <c r="J29" s="41">
        <f t="shared" si="3"/>
        <v>127026748</v>
      </c>
      <c r="K29" s="41">
        <f t="shared" si="3"/>
        <v>136118724</v>
      </c>
      <c r="L29" s="41">
        <f t="shared" si="3"/>
        <v>140330257</v>
      </c>
      <c r="M29" s="41">
        <f t="shared" si="3"/>
        <v>141544744</v>
      </c>
      <c r="N29" s="41">
        <f t="shared" si="3"/>
        <v>147546518</v>
      </c>
      <c r="O29" s="21">
        <f t="shared" si="3"/>
        <v>150584730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340.68943438914027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1">
        <f t="shared" ref="P32:P38" si="4">SUM(C32:O32)</f>
        <v>3172038.4573707744</v>
      </c>
      <c r="Q32" s="18">
        <f>+[1]Caledonia!$AY$156</f>
        <v>3172038.28</v>
      </c>
      <c r="R32" s="18">
        <f>+P32-Q32</f>
        <v>0.17737077455967665</v>
      </c>
    </row>
    <row r="33" spans="1:18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P33" s="11">
        <f t="shared" si="4"/>
        <v>-426988</v>
      </c>
      <c r="Q33" s="18">
        <f>+[1]Caledonia!$AY$157</f>
        <v>-426988</v>
      </c>
      <c r="R33" s="18">
        <f>+P33-Q33</f>
        <v>0</v>
      </c>
    </row>
    <row r="34" spans="1:18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11">
        <f t="shared" si="4"/>
        <v>40257.640500000001</v>
      </c>
      <c r="Q34" s="18">
        <f>+[1]Caledonia!$AY$158</f>
        <v>40258</v>
      </c>
      <c r="R34" s="18">
        <f>+P34-Q34</f>
        <v>-0.35949999999866122</v>
      </c>
    </row>
    <row r="35" spans="1:18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1</v>
      </c>
      <c r="P35" s="11">
        <f t="shared" si="4"/>
        <v>-10399</v>
      </c>
      <c r="Q35" s="18">
        <f>+[1]Caledonia!$AY$159</f>
        <v>-10399.469999999999</v>
      </c>
      <c r="R35" s="18">
        <f>+P35-Q35</f>
        <v>0.46999999999934516</v>
      </c>
    </row>
    <row r="36" spans="1:18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1">
        <f t="shared" si="4"/>
        <v>1285020</v>
      </c>
      <c r="Q36" s="18">
        <f>+[1]Caledonia!$AY$169</f>
        <v>1285019.7133333331</v>
      </c>
      <c r="R36" s="18">
        <f>+P36-Q36</f>
        <v>0.28666666685603559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1081436</v>
      </c>
      <c r="D38" s="41">
        <f t="shared" si="5"/>
        <v>1296897.189</v>
      </c>
      <c r="E38" s="41">
        <f t="shared" si="5"/>
        <v>331579.33651309164</v>
      </c>
      <c r="F38" s="41">
        <f t="shared" si="5"/>
        <v>135755.25336798004</v>
      </c>
      <c r="G38" s="41">
        <f t="shared" si="5"/>
        <v>429460.3189897025</v>
      </c>
      <c r="H38" s="41">
        <f t="shared" si="5"/>
        <v>195413</v>
      </c>
      <c r="I38" s="41">
        <f t="shared" si="5"/>
        <v>725143</v>
      </c>
      <c r="J38" s="41">
        <f t="shared" si="5"/>
        <v>684126</v>
      </c>
      <c r="K38" s="41">
        <f t="shared" si="5"/>
        <v>-684126</v>
      </c>
      <c r="L38" s="41">
        <f t="shared" si="5"/>
        <v>-326769</v>
      </c>
      <c r="M38" s="41">
        <f t="shared" si="5"/>
        <v>0</v>
      </c>
      <c r="N38" s="41">
        <f t="shared" si="5"/>
        <v>83333</v>
      </c>
      <c r="O38" s="21">
        <f t="shared" si="5"/>
        <v>107681</v>
      </c>
      <c r="P38" s="22">
        <f t="shared" si="4"/>
        <v>4059929.0978707746</v>
      </c>
    </row>
    <row r="39" spans="1:18" x14ac:dyDescent="0.2">
      <c r="A39" s="17" t="s">
        <v>68</v>
      </c>
      <c r="C39" s="41">
        <f>+C38</f>
        <v>1081436</v>
      </c>
      <c r="D39" s="41">
        <f t="shared" ref="D39:O39" si="6">+D38+C39</f>
        <v>2378333.1890000002</v>
      </c>
      <c r="E39" s="41">
        <f t="shared" si="6"/>
        <v>2709912.5255130921</v>
      </c>
      <c r="F39" s="41">
        <f t="shared" si="6"/>
        <v>2845667.7788810721</v>
      </c>
      <c r="G39" s="41">
        <f t="shared" si="6"/>
        <v>3275128.0978707746</v>
      </c>
      <c r="H39" s="41">
        <f t="shared" si="6"/>
        <v>3470541.0978707746</v>
      </c>
      <c r="I39" s="41">
        <f t="shared" si="6"/>
        <v>4195684.0978707746</v>
      </c>
      <c r="J39" s="41">
        <f t="shared" si="6"/>
        <v>4879810.0978707746</v>
      </c>
      <c r="K39" s="41">
        <f t="shared" si="6"/>
        <v>4195684.0978707746</v>
      </c>
      <c r="L39" s="41">
        <f t="shared" si="6"/>
        <v>3868915.0978707746</v>
      </c>
      <c r="M39" s="41">
        <f t="shared" si="6"/>
        <v>3868915.0978707746</v>
      </c>
      <c r="N39" s="41">
        <f t="shared" si="6"/>
        <v>3952248.0978707746</v>
      </c>
      <c r="O39" s="21">
        <f t="shared" si="6"/>
        <v>4059929.0978707746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42795665</v>
      </c>
      <c r="D41" s="36">
        <f t="shared" si="7"/>
        <v>13359457.188999999</v>
      </c>
      <c r="E41" s="36">
        <f t="shared" si="7"/>
        <v>8406456.3365130909</v>
      </c>
      <c r="F41" s="36">
        <f t="shared" si="7"/>
        <v>14908823.253367981</v>
      </c>
      <c r="G41" s="36">
        <f t="shared" si="7"/>
        <v>16489517.318989702</v>
      </c>
      <c r="H41" s="36">
        <f t="shared" si="7"/>
        <v>20302857</v>
      </c>
      <c r="I41" s="36">
        <f t="shared" si="7"/>
        <v>4857454</v>
      </c>
      <c r="J41" s="36">
        <f t="shared" si="7"/>
        <v>10786328</v>
      </c>
      <c r="K41" s="36">
        <f>ROUND(+K28+K38,0)+1</f>
        <v>8407851</v>
      </c>
      <c r="L41" s="36">
        <f t="shared" si="7"/>
        <v>3884764</v>
      </c>
      <c r="M41" s="36">
        <f t="shared" si="7"/>
        <v>1214487</v>
      </c>
      <c r="N41" s="36">
        <f t="shared" si="7"/>
        <v>6085107</v>
      </c>
      <c r="O41" s="4">
        <f t="shared" si="7"/>
        <v>3145893</v>
      </c>
      <c r="P41" s="11">
        <f>SUM(C41:O41)</f>
        <v>154644660.09787077</v>
      </c>
    </row>
    <row r="42" spans="1:18" s="4" customFormat="1" x14ac:dyDescent="0.2">
      <c r="A42" s="4" t="s">
        <v>45</v>
      </c>
      <c r="C42" s="36">
        <f>C41</f>
        <v>42795665</v>
      </c>
      <c r="D42" s="36">
        <f t="shared" ref="D42:O42" si="8">C42+D41</f>
        <v>56155122.188999996</v>
      </c>
      <c r="E42" s="36">
        <f t="shared" si="8"/>
        <v>64561578.525513083</v>
      </c>
      <c r="F42" s="36">
        <f t="shared" si="8"/>
        <v>79470401.778881058</v>
      </c>
      <c r="G42" s="36">
        <f t="shared" si="8"/>
        <v>95959919.097870767</v>
      </c>
      <c r="H42" s="36">
        <f t="shared" si="8"/>
        <v>116262776.09787077</v>
      </c>
      <c r="I42" s="36">
        <f t="shared" si="8"/>
        <v>121120230.09787077</v>
      </c>
      <c r="J42" s="36">
        <f t="shared" si="8"/>
        <v>131906558.09787077</v>
      </c>
      <c r="K42" s="36">
        <f t="shared" si="8"/>
        <v>140314409.09787077</v>
      </c>
      <c r="L42" s="36">
        <f t="shared" si="8"/>
        <v>144199173.09787077</v>
      </c>
      <c r="M42" s="36">
        <f t="shared" si="8"/>
        <v>145413660.09787077</v>
      </c>
      <c r="N42" s="36">
        <f t="shared" si="8"/>
        <v>151498767.09787077</v>
      </c>
      <c r="O42" s="4">
        <f t="shared" si="8"/>
        <v>154644660.09787077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P43" s="16">
        <f>+P41/C59/1000</f>
        <v>349.87479660151757</v>
      </c>
    </row>
    <row r="44" spans="1:18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P45" s="22">
        <f>SUM(C45:O45)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K47" si="9">+C41-C32</f>
        <v>41782615</v>
      </c>
      <c r="D47" s="36">
        <f t="shared" si="9"/>
        <v>13016633.188999999</v>
      </c>
      <c r="E47" s="36">
        <f t="shared" si="9"/>
        <v>8085156.4176249988</v>
      </c>
      <c r="F47" s="36">
        <f t="shared" si="9"/>
        <v>14464905.399750002</v>
      </c>
      <c r="G47" s="36">
        <f t="shared" si="9"/>
        <v>15961461.634125</v>
      </c>
      <c r="H47" s="36">
        <f t="shared" si="9"/>
        <v>20178340</v>
      </c>
      <c r="I47" s="36">
        <f t="shared" si="9"/>
        <v>4132311</v>
      </c>
      <c r="J47" s="36">
        <f t="shared" si="9"/>
        <v>10102202</v>
      </c>
      <c r="K47" s="4">
        <f t="shared" si="9"/>
        <v>9091977</v>
      </c>
      <c r="L47" s="36">
        <f>ROUND(+L41-L32,0)</f>
        <v>4211533</v>
      </c>
      <c r="M47" s="36">
        <f>+M41-M32</f>
        <v>1214487</v>
      </c>
      <c r="N47" s="36">
        <f>+N41-N32</f>
        <v>6085107</v>
      </c>
      <c r="O47" s="4">
        <f>+O41-O32</f>
        <v>3145893</v>
      </c>
      <c r="P47" s="11">
        <f>SUM(C47:O47)</f>
        <v>151472621.64049998</v>
      </c>
    </row>
    <row r="48" spans="1:18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11"/>
    </row>
    <row r="49" spans="1:24" hidden="1" x14ac:dyDescent="0.2">
      <c r="A49" s="17" t="s">
        <v>83</v>
      </c>
      <c r="C49" s="36">
        <f>+C48</f>
        <v>55718488</v>
      </c>
      <c r="D49" s="36">
        <f t="shared" ref="D49:K49" si="10">+D48+C49</f>
        <v>67764659</v>
      </c>
      <c r="E49" s="36">
        <f t="shared" si="10"/>
        <v>100340802</v>
      </c>
      <c r="F49" s="36">
        <f t="shared" si="10"/>
        <v>101290927</v>
      </c>
      <c r="G49" s="36">
        <f t="shared" si="10"/>
        <v>101540927</v>
      </c>
      <c r="H49" s="36">
        <v>0</v>
      </c>
      <c r="I49" s="4">
        <f t="shared" si="10"/>
        <v>0</v>
      </c>
      <c r="J49" s="36">
        <f t="shared" si="10"/>
        <v>0</v>
      </c>
      <c r="K49" s="4">
        <f t="shared" si="10"/>
        <v>0</v>
      </c>
      <c r="L49" s="36"/>
      <c r="M49" s="36"/>
      <c r="N49" s="36"/>
      <c r="O49" s="4"/>
      <c r="P49" s="11"/>
    </row>
    <row r="50" spans="1:24" x14ac:dyDescent="0.2">
      <c r="C50" s="36"/>
      <c r="D50" s="40"/>
      <c r="E50" s="40"/>
      <c r="G50" s="40"/>
      <c r="H50" s="40"/>
      <c r="J50" s="40"/>
      <c r="L50" s="40"/>
      <c r="M50" s="40"/>
      <c r="N50" s="40"/>
      <c r="P50" s="11"/>
    </row>
    <row r="51" spans="1:24" x14ac:dyDescent="0.2">
      <c r="C51" s="36"/>
      <c r="D51" s="40"/>
      <c r="E51" s="40"/>
      <c r="G51" s="40"/>
      <c r="H51" s="40"/>
      <c r="J51" s="40"/>
      <c r="L51" s="40"/>
      <c r="M51" s="40"/>
      <c r="N51" s="40"/>
      <c r="P51" s="11"/>
    </row>
    <row r="52" spans="1:24" ht="13.5" thickBot="1" x14ac:dyDescent="0.25">
      <c r="A52" s="4" t="s">
        <v>74</v>
      </c>
      <c r="C52" s="44">
        <f>+C41</f>
        <v>42795665</v>
      </c>
      <c r="D52" s="44">
        <f t="shared" ref="D52:O52" si="11">+D41</f>
        <v>13359457.188999999</v>
      </c>
      <c r="E52" s="44">
        <f t="shared" si="11"/>
        <v>8406456.3365130909</v>
      </c>
      <c r="F52" s="44">
        <f t="shared" si="11"/>
        <v>14908823.253367981</v>
      </c>
      <c r="G52" s="44">
        <f t="shared" si="11"/>
        <v>16489517.318989702</v>
      </c>
      <c r="H52" s="44">
        <f t="shared" si="11"/>
        <v>20302857</v>
      </c>
      <c r="I52" s="44">
        <f t="shared" si="11"/>
        <v>4857454</v>
      </c>
      <c r="J52" s="44">
        <f t="shared" si="11"/>
        <v>10786328</v>
      </c>
      <c r="K52" s="44">
        <f t="shared" si="11"/>
        <v>8407851</v>
      </c>
      <c r="L52" s="44">
        <f t="shared" si="11"/>
        <v>3884764</v>
      </c>
      <c r="M52" s="44">
        <f t="shared" si="11"/>
        <v>1214487</v>
      </c>
      <c r="N52" s="44">
        <f t="shared" si="11"/>
        <v>6085107</v>
      </c>
      <c r="O52" s="44">
        <f t="shared" si="11"/>
        <v>3145893</v>
      </c>
      <c r="P52" s="30">
        <f>SUM(C52:O52)+1</f>
        <v>154644661.09787077</v>
      </c>
      <c r="R52" s="18">
        <f>SUM(R10:R51)</f>
        <v>1.0105374417089479</v>
      </c>
    </row>
    <row r="53" spans="1:24" ht="13.5" thickBot="1" x14ac:dyDescent="0.25">
      <c r="A53" s="4" t="s">
        <v>84</v>
      </c>
      <c r="C53" s="45">
        <f>+C52</f>
        <v>42795665</v>
      </c>
      <c r="D53" s="45">
        <f t="shared" ref="D53:O53" si="12">+D52+C53</f>
        <v>56155122.188999996</v>
      </c>
      <c r="E53" s="45">
        <f t="shared" si="12"/>
        <v>64561578.525513083</v>
      </c>
      <c r="F53" s="45">
        <f t="shared" si="12"/>
        <v>79470401.778881058</v>
      </c>
      <c r="G53" s="45">
        <f t="shared" si="12"/>
        <v>95959919.097870767</v>
      </c>
      <c r="H53" s="45">
        <f t="shared" si="12"/>
        <v>116262776.09787077</v>
      </c>
      <c r="I53" s="45">
        <f t="shared" si="12"/>
        <v>121120230.09787077</v>
      </c>
      <c r="J53" s="45">
        <f t="shared" si="12"/>
        <v>131906558.09787077</v>
      </c>
      <c r="K53" s="32">
        <f t="shared" si="12"/>
        <v>140314409.09787077</v>
      </c>
      <c r="L53" s="45">
        <f t="shared" si="12"/>
        <v>144199173.09787077</v>
      </c>
      <c r="M53" s="45">
        <f t="shared" si="12"/>
        <v>145413660.09787077</v>
      </c>
      <c r="N53" s="45">
        <f t="shared" si="12"/>
        <v>151498767.09787077</v>
      </c>
      <c r="O53" s="32">
        <f t="shared" si="12"/>
        <v>154644660.09787077</v>
      </c>
      <c r="P53" s="11"/>
    </row>
    <row r="54" spans="1:24" x14ac:dyDescent="0.2">
      <c r="C54" s="36"/>
      <c r="D54" s="40"/>
      <c r="E54" s="40"/>
      <c r="G54" s="40"/>
      <c r="H54" s="40"/>
      <c r="J54" s="40"/>
      <c r="L54" s="40"/>
      <c r="M54" s="40"/>
      <c r="N54" s="40"/>
      <c r="P54" s="39"/>
    </row>
    <row r="55" spans="1:24" ht="13.5" thickBot="1" x14ac:dyDescent="0.25">
      <c r="A55" s="4" t="s">
        <v>73</v>
      </c>
      <c r="C55" s="44">
        <f t="shared" ref="C55:P55" si="13">+C52+C45</f>
        <v>42795665</v>
      </c>
      <c r="D55" s="44">
        <f t="shared" si="13"/>
        <v>13359457.188999999</v>
      </c>
      <c r="E55" s="44">
        <f t="shared" si="13"/>
        <v>8406456.3365130909</v>
      </c>
      <c r="F55" s="44">
        <f t="shared" si="13"/>
        <v>14908823.253367981</v>
      </c>
      <c r="G55" s="44">
        <f t="shared" si="13"/>
        <v>16489517.318989702</v>
      </c>
      <c r="H55" s="44">
        <f t="shared" si="13"/>
        <v>20302857</v>
      </c>
      <c r="I55" s="44">
        <f t="shared" si="13"/>
        <v>4857454</v>
      </c>
      <c r="J55" s="44">
        <f t="shared" si="13"/>
        <v>10786328</v>
      </c>
      <c r="K55" s="29">
        <f t="shared" si="13"/>
        <v>8407851</v>
      </c>
      <c r="L55" s="44">
        <f t="shared" si="13"/>
        <v>3884764</v>
      </c>
      <c r="M55" s="44">
        <f t="shared" si="13"/>
        <v>1214487</v>
      </c>
      <c r="N55" s="44">
        <f t="shared" si="13"/>
        <v>6085107</v>
      </c>
      <c r="O55" s="29">
        <f t="shared" si="13"/>
        <v>3145893</v>
      </c>
      <c r="P55" s="30">
        <f t="shared" si="13"/>
        <v>154644661.09787077</v>
      </c>
      <c r="Q55" s="18">
        <f>+[1]Caledonia!$AY$198</f>
        <v>154644660.9593333</v>
      </c>
      <c r="R55" s="18">
        <f>+Q55-P55</f>
        <v>-0.13853746652603149</v>
      </c>
    </row>
    <row r="56" spans="1:24" x14ac:dyDescent="0.2">
      <c r="G56" s="40"/>
      <c r="J56" s="40"/>
      <c r="L56" s="40"/>
      <c r="M56" s="40"/>
      <c r="N56" s="40"/>
      <c r="P56"/>
    </row>
    <row r="57" spans="1:24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24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P58" s="38"/>
    </row>
    <row r="59" spans="1:24" s="4" customFormat="1" x14ac:dyDescent="0.2">
      <c r="A59" s="8"/>
      <c r="C59" s="4">
        <v>442</v>
      </c>
      <c r="D59" s="4" t="s">
        <v>66</v>
      </c>
      <c r="P59"/>
    </row>
    <row r="61" spans="1:24" x14ac:dyDescent="0.2">
      <c r="C61" s="36" t="s">
        <v>89</v>
      </c>
      <c r="D61" s="17" t="s">
        <v>90</v>
      </c>
    </row>
    <row r="62" spans="1:24" x14ac:dyDescent="0.2">
      <c r="C62" s="37"/>
      <c r="D62" s="17" t="str">
        <f>+Brownsville!D62</f>
        <v>Input from WestLB statements for each month's actuals (1/99 - 5/99)</v>
      </c>
    </row>
    <row r="64" spans="1:24" s="6" customFormat="1" x14ac:dyDescent="0.2">
      <c r="A64" s="66"/>
      <c r="B64" s="67"/>
      <c r="C64" s="68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69"/>
      <c r="Q64" s="67"/>
      <c r="R64" s="67"/>
      <c r="S64" s="67"/>
      <c r="T64" s="67"/>
      <c r="U64" s="67"/>
      <c r="V64" s="67"/>
      <c r="W64" s="67"/>
      <c r="X64" s="67"/>
    </row>
    <row r="65" spans="1:24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  <c r="R72" s="20"/>
      <c r="S72" s="20"/>
      <c r="T72" s="20"/>
      <c r="U72" s="20"/>
      <c r="V72" s="20"/>
      <c r="W72" s="20"/>
      <c r="X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workbookViewId="0">
      <pane xSplit="2" ySplit="6" topLeftCell="O34" activePane="bottomRight" state="frozen"/>
      <selection activeCell="D3" sqref="D3"/>
      <selection pane="topRight" activeCell="D3" sqref="D3"/>
      <selection pane="bottomLeft" activeCell="D3" sqref="D3"/>
      <selection pane="bottomRight" activeCell="D3" sqref="D3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customWidth="1"/>
    <col min="5" max="5" width="14.28515625" style="18" customWidth="1"/>
    <col min="6" max="7" width="12.28515625" style="18" customWidth="1"/>
    <col min="8" max="8" width="13.42578125" style="18" customWidth="1"/>
    <col min="9" max="9" width="13.5703125" style="18" customWidth="1"/>
    <col min="10" max="10" width="14.28515625" style="18" customWidth="1"/>
    <col min="11" max="11" width="14.85546875" style="18" customWidth="1"/>
    <col min="12" max="14" width="14.140625" style="18" customWidth="1"/>
    <col min="15" max="15" width="13.7109375" style="18" customWidth="1"/>
    <col min="16" max="16" width="14.42578125" style="4" customWidth="1"/>
    <col min="17" max="17" width="12.28515625" style="18" bestFit="1" customWidth="1"/>
    <col min="18" max="18" width="13.71093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10, 1999</v>
      </c>
      <c r="P2" s="25" t="str">
        <f ca="1">CELL("filename")</f>
        <v>O:\Fin_Ops\Engysvc\PowerPlants\TVA Plants\TVA Weekly Summary\[TVA Wkly Anal - 121499.xls]Brownsville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36507.455072800927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H7" s="62"/>
      <c r="P7" s="10"/>
    </row>
    <row r="8" spans="1:18" s="6" customFormat="1" x14ac:dyDescent="0.2">
      <c r="A8" s="5" t="s">
        <v>91</v>
      </c>
      <c r="H8" s="62"/>
      <c r="N8" s="62"/>
      <c r="P8" s="10"/>
    </row>
    <row r="9" spans="1:18" s="6" customFormat="1" x14ac:dyDescent="0.2">
      <c r="A9" s="5" t="s">
        <v>61</v>
      </c>
      <c r="H9" s="62"/>
      <c r="N9" s="62"/>
      <c r="P9" s="10"/>
    </row>
    <row r="10" spans="1:18" x14ac:dyDescent="0.2">
      <c r="A10" s="17" t="s">
        <v>88</v>
      </c>
      <c r="C10" s="36">
        <f>52751407</f>
        <v>52751407</v>
      </c>
      <c r="D10" s="40">
        <f>13627541-133528</f>
        <v>13494013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v>56819</v>
      </c>
      <c r="O10" s="8">
        <v>2157008</v>
      </c>
      <c r="P10" s="11">
        <f t="shared" ref="P10:P29" si="0">SUM(C10:O10)</f>
        <v>82754588.400000006</v>
      </c>
      <c r="Q10" s="18">
        <f>+[1]NewAlbany!AY25</f>
        <v>82754588.730000004</v>
      </c>
      <c r="R10" s="18">
        <f>+Q10-P10</f>
        <v>0.32999999821186066</v>
      </c>
    </row>
    <row r="11" spans="1:18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1</v>
      </c>
      <c r="P11" s="11">
        <f>SUM(C11:O11)</f>
        <v>7891257</v>
      </c>
      <c r="Q11" s="18">
        <f>+[1]NewAlbany!AY27</f>
        <v>7891256.5300000003</v>
      </c>
      <c r="R11" s="18">
        <f>+Q11-P11</f>
        <v>-0.46999999973922968</v>
      </c>
    </row>
    <row r="12" spans="1:18" x14ac:dyDescent="0.2">
      <c r="A12" s="17" t="s">
        <v>19</v>
      </c>
      <c r="C12" s="36">
        <f>9471199-7430171</f>
        <v>2041028</v>
      </c>
      <c r="D12" s="40">
        <f>4096431+133528-3111381</f>
        <v>1118578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f>51445-184973</f>
        <v>-133528</v>
      </c>
      <c r="P12" s="11">
        <f t="shared" si="0"/>
        <v>11336876</v>
      </c>
      <c r="Q12" s="18">
        <f>+[1]NewAlbany!AY41</f>
        <v>11336875.91</v>
      </c>
      <c r="R12" s="18">
        <f t="shared" ref="R12:R27" si="1">+Q12-P12</f>
        <v>-8.9999999850988388E-2</v>
      </c>
    </row>
    <row r="13" spans="1:18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113778</v>
      </c>
      <c r="P13" s="11">
        <f t="shared" si="0"/>
        <v>1199679</v>
      </c>
      <c r="Q13" s="18">
        <f>+[1]NewAlbany!AY51</f>
        <v>1199679</v>
      </c>
      <c r="R13" s="18">
        <f t="shared" si="1"/>
        <v>0</v>
      </c>
    </row>
    <row r="14" spans="1:18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f>2102445-1842444+1842444</f>
        <v>2102445</v>
      </c>
      <c r="P14" s="11">
        <f t="shared" si="0"/>
        <v>33525000</v>
      </c>
      <c r="Q14" s="18">
        <f>+[1]NewAlbany!AY141</f>
        <v>33525000.170000002</v>
      </c>
      <c r="R14" s="18">
        <f t="shared" si="1"/>
        <v>0.17000000178813934</v>
      </c>
    </row>
    <row r="15" spans="1:18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1</v>
      </c>
      <c r="P15" s="11">
        <f t="shared" si="0"/>
        <v>786609</v>
      </c>
      <c r="Q15" s="18">
        <f>+[1]NewAlbany!AY147</f>
        <v>786608.59</v>
      </c>
      <c r="R15" s="18">
        <f t="shared" si="1"/>
        <v>-0.41000000003259629</v>
      </c>
    </row>
    <row r="16" spans="1:18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64761</v>
      </c>
      <c r="P16" s="11">
        <f t="shared" si="0"/>
        <v>813050</v>
      </c>
      <c r="Q16" s="18">
        <f>+[1]NewAlbany!AY149</f>
        <v>813050</v>
      </c>
      <c r="R16" s="18">
        <f t="shared" si="1"/>
        <v>0</v>
      </c>
    </row>
    <row r="17" spans="1:18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1">
        <f t="shared" si="0"/>
        <v>172609</v>
      </c>
      <c r="Q17" s="18">
        <f>+[1]NewAlbany!AY153</f>
        <v>172609.34</v>
      </c>
      <c r="R17" s="18">
        <f t="shared" si="1"/>
        <v>0.33999999999650754</v>
      </c>
    </row>
    <row r="18" spans="1:18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1">
        <f t="shared" si="0"/>
        <v>354903</v>
      </c>
      <c r="Q18" s="18">
        <f>+[1]NewAlbany!AY157</f>
        <v>354903.46</v>
      </c>
      <c r="R18" s="18">
        <f t="shared" si="1"/>
        <v>0.46000000002095476</v>
      </c>
    </row>
    <row r="19" spans="1:18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1">
        <f t="shared" si="0"/>
        <v>0</v>
      </c>
      <c r="Q19" s="18">
        <f>+[1]NewAlbany!AY159</f>
        <v>0</v>
      </c>
      <c r="R19" s="18">
        <f t="shared" si="1"/>
        <v>0</v>
      </c>
    </row>
    <row r="20" spans="1:18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119924</v>
      </c>
      <c r="P20" s="11">
        <f t="shared" si="0"/>
        <v>2150807</v>
      </c>
      <c r="Q20" s="18">
        <f>+[1]NewAlbany!AY166</f>
        <v>2150806.6639999999</v>
      </c>
      <c r="R20" s="18">
        <f t="shared" si="1"/>
        <v>-0.33600000012665987</v>
      </c>
    </row>
    <row r="21" spans="1:18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1">
        <f t="shared" si="0"/>
        <v>375016</v>
      </c>
      <c r="Q21" s="18">
        <f>+[1]NewAlbany!AY216</f>
        <v>375015.74</v>
      </c>
      <c r="R21" s="18">
        <f t="shared" si="1"/>
        <v>-0.26000000000931323</v>
      </c>
    </row>
    <row r="22" spans="1:18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-217836</v>
      </c>
      <c r="P22" s="11">
        <f t="shared" si="0"/>
        <v>99999.679999999993</v>
      </c>
      <c r="Q22" s="18">
        <f>+[1]NewAlbany!AY168</f>
        <v>100000</v>
      </c>
      <c r="R22" s="18">
        <f t="shared" si="1"/>
        <v>0.32000000000698492</v>
      </c>
    </row>
    <row r="23" spans="1:18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1">
        <f t="shared" si="0"/>
        <v>62709</v>
      </c>
      <c r="Q23" s="18">
        <f>+[1]NewAlbany!AY191</f>
        <v>62709.15</v>
      </c>
      <c r="R23" s="18">
        <f t="shared" si="1"/>
        <v>0.15000000000145519</v>
      </c>
    </row>
    <row r="24" spans="1:18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35888</v>
      </c>
      <c r="P24" s="11">
        <f t="shared" si="0"/>
        <v>326527</v>
      </c>
      <c r="Q24" s="18">
        <f>+[1]NewAlbany!AY170</f>
        <v>326527</v>
      </c>
      <c r="R24" s="18">
        <f t="shared" si="1"/>
        <v>0</v>
      </c>
    </row>
    <row r="25" spans="1:18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1">
        <f t="shared" si="0"/>
        <v>63624</v>
      </c>
      <c r="Q25" s="18">
        <f>+[1]NewAlbany!AY172</f>
        <v>63623.9</v>
      </c>
      <c r="R25" s="18">
        <f t="shared" si="1"/>
        <v>-9.9999999998544808E-2</v>
      </c>
    </row>
    <row r="26" spans="1:18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-2</v>
      </c>
      <c r="P26" s="11">
        <f t="shared" si="0"/>
        <v>638182</v>
      </c>
      <c r="Q26" s="18">
        <f>+[1]NewAlbany!AY205</f>
        <v>638181.84999999986</v>
      </c>
      <c r="R26" s="18">
        <f t="shared" si="1"/>
        <v>-0.15000000013969839</v>
      </c>
    </row>
    <row r="27" spans="1:18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-1</v>
      </c>
      <c r="P27" s="11">
        <f t="shared" si="0"/>
        <v>538966</v>
      </c>
      <c r="Q27" s="18">
        <f>+[1]NewAlbany!AY214</f>
        <v>538966.38</v>
      </c>
      <c r="R27" s="18">
        <f t="shared" si="1"/>
        <v>0.38000000000465661</v>
      </c>
    </row>
    <row r="28" spans="1:18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1">
        <f t="shared" si="0"/>
        <v>0</v>
      </c>
    </row>
    <row r="29" spans="1:18" x14ac:dyDescent="0.2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1383476</v>
      </c>
      <c r="O29" s="21">
        <f t="shared" si="2"/>
        <v>4242439</v>
      </c>
      <c r="P29" s="22">
        <f t="shared" si="0"/>
        <v>143090402.08000001</v>
      </c>
    </row>
    <row r="30" spans="1:18" x14ac:dyDescent="0.2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138847963.08000001</v>
      </c>
      <c r="O30" s="21">
        <f t="shared" si="3"/>
        <v>143090402.08000001</v>
      </c>
      <c r="P30" s="13"/>
    </row>
    <row r="31" spans="1:18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6">
        <f>+P29/C59/1000</f>
        <v>369.74264103359178</v>
      </c>
    </row>
    <row r="32" spans="1:18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11"/>
    </row>
    <row r="33" spans="1:18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1">
        <f t="shared" ref="P33:P39" si="4">SUM(C33:O33)</f>
        <v>4163904.5527400821</v>
      </c>
      <c r="Q33" s="18">
        <f>+[1]NewAlbany!AY174</f>
        <v>4163904.83</v>
      </c>
      <c r="R33" s="18">
        <f>+P33-Q33</f>
        <v>-0.27725991792976856</v>
      </c>
    </row>
    <row r="34" spans="1:18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11">
        <f t="shared" si="4"/>
        <v>-159283</v>
      </c>
      <c r="Q34" s="18">
        <f>+[1]NewAlbany!AY175</f>
        <v>-159283</v>
      </c>
      <c r="R34" s="18">
        <f>+P34-Q34</f>
        <v>0</v>
      </c>
    </row>
    <row r="35" spans="1:18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11">
        <f t="shared" si="4"/>
        <v>24071.936624999998</v>
      </c>
      <c r="Q35" s="18">
        <f>+[1]NewAlbany!AY176</f>
        <v>24072.18</v>
      </c>
      <c r="R35" s="18">
        <f>+P35-Q35</f>
        <v>-0.24337500000183354</v>
      </c>
    </row>
    <row r="36" spans="1:18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11">
        <f t="shared" si="4"/>
        <v>1153770</v>
      </c>
      <c r="Q36" s="18">
        <f>+[1]NewAlbany!AY189</f>
        <v>1153769.7033333334</v>
      </c>
      <c r="R36" s="18">
        <f>+P36-Q36</f>
        <v>0.29666666663251817</v>
      </c>
    </row>
    <row r="37" spans="1:18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1">
        <f t="shared" si="4"/>
        <v>-15668</v>
      </c>
      <c r="Q37" s="18">
        <f>+[1]NewAlbany!AY177</f>
        <v>-15668</v>
      </c>
      <c r="R37" s="18">
        <f>+P37-Q37</f>
        <v>0</v>
      </c>
    </row>
    <row r="38" spans="1:18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11">
        <f t="shared" si="4"/>
        <v>0</v>
      </c>
    </row>
    <row r="39" spans="1:18" x14ac:dyDescent="0.2">
      <c r="A39" s="17" t="s">
        <v>65</v>
      </c>
      <c r="C39" s="41">
        <f t="shared" ref="C39:O39" si="5">SUM(C33:C38)</f>
        <v>1430627</v>
      </c>
      <c r="D39" s="41">
        <f t="shared" si="5"/>
        <v>1254508.7297499999</v>
      </c>
      <c r="E39" s="41">
        <f t="shared" si="5"/>
        <v>438715.59369399172</v>
      </c>
      <c r="F39" s="41">
        <f t="shared" si="5"/>
        <v>332019.53035179339</v>
      </c>
      <c r="G39" s="41">
        <f t="shared" si="5"/>
        <v>447867.13556929753</v>
      </c>
      <c r="H39" s="41">
        <f t="shared" si="5"/>
        <v>333696</v>
      </c>
      <c r="I39" s="41">
        <f t="shared" si="5"/>
        <v>738348</v>
      </c>
      <c r="J39" s="41">
        <f t="shared" si="5"/>
        <v>659904.5</v>
      </c>
      <c r="K39" s="41">
        <f t="shared" si="5"/>
        <v>-659904</v>
      </c>
      <c r="L39" s="41">
        <f t="shared" si="5"/>
        <v>0</v>
      </c>
      <c r="M39" s="41">
        <f t="shared" si="5"/>
        <v>0</v>
      </c>
      <c r="N39" s="41">
        <f t="shared" si="5"/>
        <v>83333</v>
      </c>
      <c r="O39" s="21">
        <f t="shared" si="5"/>
        <v>107680</v>
      </c>
      <c r="P39" s="22">
        <f t="shared" si="4"/>
        <v>5166795.4893650822</v>
      </c>
    </row>
    <row r="40" spans="1:18" x14ac:dyDescent="0.2">
      <c r="A40" s="17" t="s">
        <v>68</v>
      </c>
      <c r="C40" s="41">
        <f>+C39</f>
        <v>1430627</v>
      </c>
      <c r="D40" s="41">
        <f t="shared" ref="D40:O40" si="6">+D39+C40</f>
        <v>2685135.7297499999</v>
      </c>
      <c r="E40" s="41">
        <f t="shared" si="6"/>
        <v>3123851.3234439916</v>
      </c>
      <c r="F40" s="41">
        <f t="shared" si="6"/>
        <v>3455870.853795785</v>
      </c>
      <c r="G40" s="41">
        <f t="shared" si="6"/>
        <v>3903737.9893650827</v>
      </c>
      <c r="H40" s="41">
        <f t="shared" si="6"/>
        <v>4237433.9893650822</v>
      </c>
      <c r="I40" s="41">
        <f t="shared" si="6"/>
        <v>4975781.9893650822</v>
      </c>
      <c r="J40" s="41">
        <f t="shared" si="6"/>
        <v>5635686.4893650822</v>
      </c>
      <c r="K40" s="41">
        <f t="shared" si="6"/>
        <v>4975782.4893650822</v>
      </c>
      <c r="L40" s="41">
        <f t="shared" si="6"/>
        <v>4975782.4893650822</v>
      </c>
      <c r="M40" s="41">
        <f t="shared" si="6"/>
        <v>4975782.4893650822</v>
      </c>
      <c r="N40" s="41">
        <f t="shared" si="6"/>
        <v>5059115.4893650822</v>
      </c>
      <c r="O40" s="21">
        <f t="shared" si="6"/>
        <v>5166795.4893650822</v>
      </c>
      <c r="P40" s="11"/>
    </row>
    <row r="41" spans="1:18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11"/>
    </row>
    <row r="42" spans="1:18" s="4" customFormat="1" x14ac:dyDescent="0.2">
      <c r="A42" s="4" t="s">
        <v>85</v>
      </c>
      <c r="C42" s="36">
        <f t="shared" ref="C42:K42" si="7">+C29+C39</f>
        <v>64968860.68</v>
      </c>
      <c r="D42" s="36">
        <f t="shared" si="7"/>
        <v>19590653.72975</v>
      </c>
      <c r="E42" s="36">
        <f t="shared" si="7"/>
        <v>572532.59369399166</v>
      </c>
      <c r="F42" s="36">
        <f t="shared" si="7"/>
        <v>-106876.06964820623</v>
      </c>
      <c r="G42" s="36">
        <f t="shared" si="7"/>
        <v>8307660.1355692977</v>
      </c>
      <c r="H42" s="36">
        <f t="shared" si="7"/>
        <v>15855933</v>
      </c>
      <c r="I42" s="36">
        <f t="shared" si="7"/>
        <v>8226099</v>
      </c>
      <c r="J42" s="36">
        <f t="shared" si="7"/>
        <v>10079974.5</v>
      </c>
      <c r="K42" s="36">
        <f t="shared" si="7"/>
        <v>5897945</v>
      </c>
      <c r="L42" s="36">
        <f>+L29+L39</f>
        <v>6912180</v>
      </c>
      <c r="M42" s="36">
        <f>+M29+M39</f>
        <v>2135307</v>
      </c>
      <c r="N42" s="36">
        <f>+N29+N39</f>
        <v>1466809</v>
      </c>
      <c r="O42" s="4">
        <f>+O29+O39</f>
        <v>4350119</v>
      </c>
      <c r="P42" s="11">
        <f>SUM(C42:O42)</f>
        <v>148257197.56936508</v>
      </c>
    </row>
    <row r="43" spans="1:18" s="4" customFormat="1" x14ac:dyDescent="0.2">
      <c r="A43" s="4" t="s">
        <v>45</v>
      </c>
      <c r="C43" s="36">
        <f>C42</f>
        <v>64968860.68</v>
      </c>
      <c r="D43" s="36">
        <f t="shared" ref="D43:O43" si="8">C43+D42</f>
        <v>84559514.40975</v>
      </c>
      <c r="E43" s="36">
        <f t="shared" si="8"/>
        <v>85132047.003443986</v>
      </c>
      <c r="F43" s="36">
        <f t="shared" si="8"/>
        <v>85025170.93379578</v>
      </c>
      <c r="G43" s="36">
        <f t="shared" si="8"/>
        <v>93332831.069365084</v>
      </c>
      <c r="H43" s="36">
        <f t="shared" si="8"/>
        <v>109188764.06936508</v>
      </c>
      <c r="I43" s="36">
        <f t="shared" si="8"/>
        <v>117414863.06936508</v>
      </c>
      <c r="J43" s="36">
        <f t="shared" si="8"/>
        <v>127494837.56936508</v>
      </c>
      <c r="K43" s="36">
        <f t="shared" si="8"/>
        <v>133392782.56936508</v>
      </c>
      <c r="L43" s="36">
        <f t="shared" si="8"/>
        <v>140304962.56936508</v>
      </c>
      <c r="M43" s="36">
        <f t="shared" si="8"/>
        <v>142440269.56936508</v>
      </c>
      <c r="N43" s="36">
        <f t="shared" si="8"/>
        <v>143907078.56936508</v>
      </c>
      <c r="O43" s="4">
        <f t="shared" si="8"/>
        <v>148257197.56936508</v>
      </c>
      <c r="P43" s="11"/>
    </row>
    <row r="44" spans="1:18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16">
        <f>+P42/C59/1000</f>
        <v>383.0935337709692</v>
      </c>
    </row>
    <row r="45" spans="1:18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11"/>
    </row>
    <row r="46" spans="1:18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22">
        <f>SUM(C46:O46)</f>
        <v>0</v>
      </c>
    </row>
    <row r="47" spans="1:18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11"/>
    </row>
    <row r="48" spans="1:18" x14ac:dyDescent="0.2">
      <c r="A48" s="17" t="s">
        <v>69</v>
      </c>
      <c r="C48" s="36">
        <f t="shared" ref="C48:K48" si="9">+C42-C33</f>
        <v>63606619.68</v>
      </c>
      <c r="D48" s="36">
        <f t="shared" si="9"/>
        <v>19154575.72975</v>
      </c>
      <c r="E48" s="36">
        <f t="shared" si="9"/>
        <v>138499.37612499995</v>
      </c>
      <c r="F48" s="36">
        <f t="shared" si="9"/>
        <v>-529613.76924999966</v>
      </c>
      <c r="G48" s="36">
        <f t="shared" si="9"/>
        <v>7802077</v>
      </c>
      <c r="H48" s="36">
        <f t="shared" si="9"/>
        <v>15591050</v>
      </c>
      <c r="I48" s="36">
        <f t="shared" si="9"/>
        <v>7487751</v>
      </c>
      <c r="J48" s="36">
        <f t="shared" si="9"/>
        <v>9420070</v>
      </c>
      <c r="K48" s="36">
        <f t="shared" si="9"/>
        <v>6557849</v>
      </c>
      <c r="L48" s="36">
        <f>ROUND(+L42-L33,0)</f>
        <v>6912180</v>
      </c>
      <c r="M48" s="36">
        <f>+M42-M33</f>
        <v>2135307</v>
      </c>
      <c r="N48" s="36">
        <f>+N42-N33</f>
        <v>1466809</v>
      </c>
      <c r="O48" s="4">
        <f>+O42-O33</f>
        <v>4350119</v>
      </c>
      <c r="P48" s="11">
        <f>SUM(C48:O48)</f>
        <v>144093293.01662499</v>
      </c>
    </row>
    <row r="49" spans="1:18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11"/>
    </row>
    <row r="50" spans="1:18" hidden="1" x14ac:dyDescent="0.2">
      <c r="A50" s="17" t="s">
        <v>83</v>
      </c>
      <c r="C50" s="36">
        <f>+C49</f>
        <v>69858162</v>
      </c>
      <c r="D50" s="36">
        <f t="shared" ref="D50:K50" si="10">+D49+C50</f>
        <v>91540991</v>
      </c>
      <c r="E50" s="36">
        <f t="shared" si="10"/>
        <v>95553354</v>
      </c>
      <c r="F50" s="36">
        <f t="shared" si="10"/>
        <v>96980273</v>
      </c>
      <c r="G50" s="36">
        <f t="shared" si="10"/>
        <v>97230273</v>
      </c>
      <c r="H50" s="36"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/>
      <c r="M50" s="36"/>
      <c r="N50" s="36"/>
      <c r="O50" s="4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+C42</f>
        <v>64968860.68</v>
      </c>
      <c r="D52" s="44">
        <f t="shared" ref="D52:O52" si="11">+D42</f>
        <v>19590653.72975</v>
      </c>
      <c r="E52" s="44">
        <f t="shared" si="11"/>
        <v>572532.59369399166</v>
      </c>
      <c r="F52" s="44">
        <f t="shared" si="11"/>
        <v>-106876.06964820623</v>
      </c>
      <c r="G52" s="44">
        <f>+G42</f>
        <v>8307660.1355692977</v>
      </c>
      <c r="H52" s="44">
        <f t="shared" si="11"/>
        <v>15855933</v>
      </c>
      <c r="I52" s="44">
        <f t="shared" si="11"/>
        <v>8226099</v>
      </c>
      <c r="J52" s="44">
        <f t="shared" si="11"/>
        <v>10079974.5</v>
      </c>
      <c r="K52" s="44">
        <f t="shared" si="11"/>
        <v>5897945</v>
      </c>
      <c r="L52" s="44">
        <f t="shared" si="11"/>
        <v>6912180</v>
      </c>
      <c r="M52" s="44">
        <f t="shared" si="11"/>
        <v>2135307</v>
      </c>
      <c r="N52" s="44">
        <f t="shared" si="11"/>
        <v>1466809</v>
      </c>
      <c r="O52" s="44">
        <f t="shared" si="11"/>
        <v>4350119</v>
      </c>
      <c r="P52" s="30">
        <f>SUM(C52:O52)</f>
        <v>148257197.56936508</v>
      </c>
      <c r="R52" s="18">
        <f>SUM(R9:R51)</f>
        <v>0.11003174883444444</v>
      </c>
    </row>
    <row r="53" spans="1:18" ht="13.5" thickBot="1" x14ac:dyDescent="0.25">
      <c r="A53" s="4" t="s">
        <v>84</v>
      </c>
      <c r="C53" s="45">
        <f>+C52</f>
        <v>64968860.68</v>
      </c>
      <c r="D53" s="45">
        <f t="shared" ref="D53:O53" si="12">+D52+C53</f>
        <v>84559514.40975</v>
      </c>
      <c r="E53" s="45">
        <f t="shared" si="12"/>
        <v>85132047.003443986</v>
      </c>
      <c r="F53" s="45">
        <f t="shared" si="12"/>
        <v>85025170.93379578</v>
      </c>
      <c r="G53" s="45">
        <f t="shared" si="12"/>
        <v>93332831.069365084</v>
      </c>
      <c r="H53" s="45">
        <f t="shared" si="12"/>
        <v>109188764.06936508</v>
      </c>
      <c r="I53" s="45">
        <f t="shared" si="12"/>
        <v>117414863.06936508</v>
      </c>
      <c r="J53" s="45">
        <f t="shared" si="12"/>
        <v>127494837.56936508</v>
      </c>
      <c r="K53" s="45">
        <f t="shared" si="12"/>
        <v>133392782.56936508</v>
      </c>
      <c r="L53" s="45">
        <f t="shared" si="12"/>
        <v>140304962.56936508</v>
      </c>
      <c r="M53" s="45">
        <f t="shared" si="12"/>
        <v>142440269.56936508</v>
      </c>
      <c r="N53" s="45">
        <f t="shared" si="12"/>
        <v>143907078.56936508</v>
      </c>
      <c r="O53" s="32">
        <f t="shared" si="12"/>
        <v>148257197.56936508</v>
      </c>
      <c r="P53" s="11"/>
    </row>
    <row r="54" spans="1:18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+C52+C46</f>
        <v>64968860.68</v>
      </c>
      <c r="D55" s="44">
        <f t="shared" si="13"/>
        <v>19590653.72975</v>
      </c>
      <c r="E55" s="44">
        <f t="shared" si="13"/>
        <v>572532.59369399166</v>
      </c>
      <c r="F55" s="44">
        <f t="shared" si="13"/>
        <v>-106876.06964820623</v>
      </c>
      <c r="G55" s="44">
        <f t="shared" si="13"/>
        <v>8307660.1355692977</v>
      </c>
      <c r="H55" s="44">
        <f t="shared" si="13"/>
        <v>15855933</v>
      </c>
      <c r="I55" s="44">
        <f t="shared" si="13"/>
        <v>8226099</v>
      </c>
      <c r="J55" s="29">
        <f t="shared" si="13"/>
        <v>10079974.5</v>
      </c>
      <c r="K55" s="29">
        <f t="shared" si="13"/>
        <v>5897945</v>
      </c>
      <c r="L55" s="44">
        <f t="shared" si="13"/>
        <v>6912180</v>
      </c>
      <c r="M55" s="44">
        <f t="shared" si="13"/>
        <v>2135307</v>
      </c>
      <c r="N55" s="44">
        <f t="shared" si="13"/>
        <v>1466809</v>
      </c>
      <c r="O55" s="29">
        <f t="shared" si="13"/>
        <v>4350119</v>
      </c>
      <c r="P55" s="30">
        <f t="shared" si="13"/>
        <v>148257197.56936508</v>
      </c>
      <c r="Q55" s="18">
        <f>+[1]NewAlbany!AY220</f>
        <v>148257197.12733331</v>
      </c>
      <c r="R55" s="18">
        <f>+Q55-P55</f>
        <v>-0.44203177094459534</v>
      </c>
    </row>
    <row r="56" spans="1:18" x14ac:dyDescent="0.2">
      <c r="G56" s="40"/>
      <c r="I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P58" s="38"/>
    </row>
    <row r="59" spans="1:18" s="4" customFormat="1" x14ac:dyDescent="0.2">
      <c r="A59" s="8"/>
      <c r="C59" s="4">
        <v>387</v>
      </c>
      <c r="D59" s="4" t="s">
        <v>66</v>
      </c>
      <c r="I59" s="36"/>
      <c r="P59" s="38"/>
    </row>
    <row r="61" spans="1:18" x14ac:dyDescent="0.2">
      <c r="C61" s="36" t="s">
        <v>89</v>
      </c>
      <c r="D61" s="17" t="s">
        <v>90</v>
      </c>
    </row>
    <row r="62" spans="1:18" x14ac:dyDescent="0.2">
      <c r="C62" s="37"/>
      <c r="D62" s="17" t="s">
        <v>124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</sheetData>
  <printOptions horizontalCentered="1"/>
  <pageMargins left="0.25" right="0.25" top="0.25" bottom="0.25" header="0.25" footer="0.5"/>
  <pageSetup scale="56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workbookViewId="0">
      <selection activeCell="D26" sqref="D26"/>
    </sheetView>
  </sheetViews>
  <sheetFormatPr defaultRowHeight="12.75" x14ac:dyDescent="0.2"/>
  <cols>
    <col min="1" max="1" width="20.8554687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1999-12-13T16:55:42Z</cp:lastPrinted>
  <dcterms:created xsi:type="dcterms:W3CDTF">1999-02-09T14:03:00Z</dcterms:created>
  <dcterms:modified xsi:type="dcterms:W3CDTF">2023-09-13T22:21:20Z</dcterms:modified>
</cp:coreProperties>
</file>